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SKRIPSI ALWIYAH\Yudisium Alwiyah\Archive\"/>
    </mc:Choice>
  </mc:AlternateContent>
  <xr:revisionPtr revIDLastSave="0" documentId="13_ncr:1_{49272D6D-7C8D-44DB-9401-B5E571DA103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WARNA L" sheetId="3" r:id="rId1"/>
    <sheet name="WARNA A" sheetId="14" r:id="rId2"/>
    <sheet name="WARNA B" sheetId="1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3" l="1"/>
  <c r="K11" i="3"/>
  <c r="D26" i="3"/>
  <c r="Q18" i="3" l="1"/>
  <c r="L18" i="3"/>
  <c r="P27" i="3"/>
  <c r="P26" i="3"/>
  <c r="P25" i="3"/>
  <c r="P24" i="3"/>
  <c r="P23" i="3"/>
  <c r="P22" i="3"/>
  <c r="L31" i="15"/>
  <c r="L18" i="15"/>
  <c r="L31" i="14"/>
  <c r="L18" i="14"/>
  <c r="C26" i="15" l="1"/>
  <c r="C23" i="15"/>
  <c r="C22" i="15"/>
  <c r="C21" i="15"/>
  <c r="C20" i="15"/>
  <c r="F12" i="15"/>
  <c r="E12" i="15"/>
  <c r="D12" i="15"/>
  <c r="C12" i="15"/>
  <c r="H11" i="15"/>
  <c r="G11" i="15"/>
  <c r="M7" i="15" s="1"/>
  <c r="H10" i="15"/>
  <c r="G10" i="15"/>
  <c r="L7" i="15" s="1"/>
  <c r="H9" i="15"/>
  <c r="G9" i="15"/>
  <c r="K7" i="15" s="1"/>
  <c r="H8" i="15"/>
  <c r="G8" i="15"/>
  <c r="M6" i="15" s="1"/>
  <c r="H7" i="15"/>
  <c r="G7" i="15"/>
  <c r="L6" i="15" s="1"/>
  <c r="H6" i="15"/>
  <c r="G6" i="15"/>
  <c r="K36" i="14"/>
  <c r="K37" i="14"/>
  <c r="K38" i="14"/>
  <c r="K39" i="14"/>
  <c r="K40" i="14"/>
  <c r="K35" i="14"/>
  <c r="L37" i="14"/>
  <c r="L35" i="14"/>
  <c r="R4" i="3"/>
  <c r="S4" i="3"/>
  <c r="T4" i="3"/>
  <c r="U4" i="3"/>
  <c r="R5" i="3"/>
  <c r="R12" i="3" s="1"/>
  <c r="S5" i="3"/>
  <c r="S12" i="3" s="1"/>
  <c r="T5" i="3"/>
  <c r="T12" i="3" s="1"/>
  <c r="U5" i="3"/>
  <c r="R6" i="3"/>
  <c r="S6" i="3"/>
  <c r="S14" i="3" s="1"/>
  <c r="T6" i="3"/>
  <c r="U6" i="3"/>
  <c r="R7" i="3"/>
  <c r="V7" i="3" s="1"/>
  <c r="S7" i="3"/>
  <c r="S11" i="3" s="1"/>
  <c r="T7" i="3"/>
  <c r="U7" i="3"/>
  <c r="R8" i="3"/>
  <c r="R13" i="3" s="1"/>
  <c r="S8" i="3"/>
  <c r="S13" i="3" s="1"/>
  <c r="T8" i="3"/>
  <c r="T13" i="3" s="1"/>
  <c r="U8" i="3"/>
  <c r="U13" i="3" s="1"/>
  <c r="R9" i="3"/>
  <c r="R15" i="3" s="1"/>
  <c r="S9" i="3"/>
  <c r="S15" i="3" s="1"/>
  <c r="T9" i="3"/>
  <c r="U9" i="3"/>
  <c r="U15" i="3" s="1"/>
  <c r="R10" i="3"/>
  <c r="S10" i="3"/>
  <c r="T10" i="3"/>
  <c r="U10" i="3"/>
  <c r="T11" i="3"/>
  <c r="U11" i="3"/>
  <c r="U12" i="3"/>
  <c r="R14" i="3"/>
  <c r="T14" i="3"/>
  <c r="U14" i="3"/>
  <c r="T15" i="3"/>
  <c r="C26" i="14"/>
  <c r="C23" i="14"/>
  <c r="C22" i="14"/>
  <c r="C21" i="14"/>
  <c r="C20" i="14"/>
  <c r="C25" i="14" s="1"/>
  <c r="H20" i="14" s="1"/>
  <c r="F12" i="14"/>
  <c r="E12" i="14"/>
  <c r="D12" i="14"/>
  <c r="C12" i="14"/>
  <c r="H11" i="14"/>
  <c r="G11" i="14"/>
  <c r="M7" i="14" s="1"/>
  <c r="H10" i="14"/>
  <c r="G10" i="14"/>
  <c r="L7" i="14" s="1"/>
  <c r="H9" i="14"/>
  <c r="G9" i="14"/>
  <c r="K7" i="14" s="1"/>
  <c r="H8" i="14"/>
  <c r="G8" i="14"/>
  <c r="M6" i="14" s="1"/>
  <c r="H7" i="14"/>
  <c r="G7" i="14"/>
  <c r="L6" i="14" s="1"/>
  <c r="H6" i="14"/>
  <c r="G6" i="14"/>
  <c r="K6" i="14" s="1"/>
  <c r="L40" i="14" l="1"/>
  <c r="L36" i="14"/>
  <c r="L35" i="15"/>
  <c r="H12" i="15"/>
  <c r="L37" i="15"/>
  <c r="L39" i="15"/>
  <c r="H12" i="14"/>
  <c r="L39" i="14"/>
  <c r="V14" i="3"/>
  <c r="C25" i="15"/>
  <c r="L38" i="14"/>
  <c r="L36" i="15"/>
  <c r="L38" i="15"/>
  <c r="L40" i="15"/>
  <c r="M8" i="15"/>
  <c r="N7" i="15"/>
  <c r="G12" i="15"/>
  <c r="K11" i="15" s="1"/>
  <c r="L8" i="15"/>
  <c r="G22" i="15"/>
  <c r="H21" i="15"/>
  <c r="G23" i="15"/>
  <c r="G21" i="15"/>
  <c r="H20" i="15"/>
  <c r="H23" i="15"/>
  <c r="G20" i="15"/>
  <c r="H22" i="15"/>
  <c r="C24" i="15"/>
  <c r="K6" i="15"/>
  <c r="R11" i="3"/>
  <c r="V10" i="3"/>
  <c r="V12" i="3"/>
  <c r="V4" i="3"/>
  <c r="K8" i="14"/>
  <c r="M8" i="14"/>
  <c r="H21" i="14"/>
  <c r="L8" i="14"/>
  <c r="H22" i="14"/>
  <c r="H23" i="14"/>
  <c r="N7" i="14"/>
  <c r="C24" i="14"/>
  <c r="G12" i="14"/>
  <c r="K11" i="14" s="1"/>
  <c r="G22" i="14"/>
  <c r="G23" i="14"/>
  <c r="G21" i="14"/>
  <c r="N6" i="14"/>
  <c r="G20" i="14"/>
  <c r="K9" i="14" l="1"/>
  <c r="L25" i="14" s="1"/>
  <c r="D20" i="15"/>
  <c r="E20" i="15" s="1"/>
  <c r="L27" i="14"/>
  <c r="M9" i="14"/>
  <c r="L9" i="15"/>
  <c r="L26" i="15" s="1"/>
  <c r="O6" i="14"/>
  <c r="L22" i="14" s="1"/>
  <c r="D23" i="14"/>
  <c r="E23" i="14" s="1"/>
  <c r="D22" i="14"/>
  <c r="L9" i="14"/>
  <c r="L26" i="14" s="1"/>
  <c r="L23" i="15"/>
  <c r="O7" i="15"/>
  <c r="O7" i="14"/>
  <c r="L23" i="14" s="1"/>
  <c r="M9" i="15"/>
  <c r="L27" i="15" s="1"/>
  <c r="D21" i="15"/>
  <c r="E21" i="15" s="1"/>
  <c r="D26" i="15"/>
  <c r="H24" i="15"/>
  <c r="G24" i="15"/>
  <c r="N6" i="15"/>
  <c r="O6" i="15" s="1"/>
  <c r="K8" i="15"/>
  <c r="K9" i="15" s="1"/>
  <c r="N8" i="14"/>
  <c r="E22" i="14"/>
  <c r="D26" i="14"/>
  <c r="D20" i="14"/>
  <c r="E20" i="14" s="1"/>
  <c r="D21" i="14"/>
  <c r="D24" i="14" s="1"/>
  <c r="H24" i="14"/>
  <c r="G24" i="14"/>
  <c r="D25" i="14" l="1"/>
  <c r="D22" i="15"/>
  <c r="D23" i="15"/>
  <c r="D25" i="15"/>
  <c r="E25" i="15" s="1"/>
  <c r="F20" i="15" s="1"/>
  <c r="I20" i="15" s="1"/>
  <c r="E26" i="15"/>
  <c r="N8" i="15"/>
  <c r="L25" i="15"/>
  <c r="E23" i="15"/>
  <c r="L22" i="15"/>
  <c r="E24" i="14"/>
  <c r="E21" i="14"/>
  <c r="E26" i="14"/>
  <c r="E25" i="14"/>
  <c r="F23" i="15" l="1"/>
  <c r="I23" i="15" s="1"/>
  <c r="F20" i="14"/>
  <c r="I20" i="14" s="1"/>
  <c r="K31" i="14"/>
  <c r="M31" i="14" s="1"/>
  <c r="L32" i="14" s="1"/>
  <c r="L41" i="14" s="1"/>
  <c r="K18" i="15"/>
  <c r="M18" i="15" s="1"/>
  <c r="N11" i="15"/>
  <c r="K31" i="15"/>
  <c r="M31" i="15" s="1"/>
  <c r="L32" i="15" s="1"/>
  <c r="L41" i="15" s="1"/>
  <c r="N38" i="15" s="1"/>
  <c r="F21" i="15"/>
  <c r="I21" i="15" s="1"/>
  <c r="E22" i="15"/>
  <c r="F22" i="15" s="1"/>
  <c r="I22" i="15" s="1"/>
  <c r="D24" i="15"/>
  <c r="E24" i="15" s="1"/>
  <c r="F24" i="15" s="1"/>
  <c r="I24" i="15" s="1"/>
  <c r="N35" i="15"/>
  <c r="N39" i="15"/>
  <c r="N40" i="15"/>
  <c r="N36" i="15"/>
  <c r="N37" i="15"/>
  <c r="L19" i="15"/>
  <c r="F22" i="14"/>
  <c r="I22" i="14" s="1"/>
  <c r="F21" i="14"/>
  <c r="I21" i="14" s="1"/>
  <c r="F24" i="14"/>
  <c r="I24" i="14" s="1"/>
  <c r="K18" i="14"/>
  <c r="N11" i="14"/>
  <c r="F23" i="14"/>
  <c r="I23" i="14" s="1"/>
  <c r="L28" i="15" l="1"/>
  <c r="L24" i="15"/>
  <c r="N38" i="14"/>
  <c r="N37" i="14"/>
  <c r="N35" i="14"/>
  <c r="N36" i="14"/>
  <c r="N39" i="14"/>
  <c r="N40" i="14"/>
  <c r="N26" i="15"/>
  <c r="N27" i="15"/>
  <c r="N25" i="15"/>
  <c r="L19" i="14"/>
  <c r="M18" i="14"/>
  <c r="N23" i="15" l="1"/>
  <c r="N22" i="15"/>
  <c r="L28" i="14"/>
  <c r="L24" i="14"/>
  <c r="C26" i="3"/>
  <c r="C23" i="3"/>
  <c r="C22" i="3"/>
  <c r="C21" i="3"/>
  <c r="C20" i="3"/>
  <c r="G7" i="3"/>
  <c r="L6" i="3" s="1"/>
  <c r="G8" i="3"/>
  <c r="M6" i="3" s="1"/>
  <c r="G9" i="3"/>
  <c r="K7" i="3" s="1"/>
  <c r="G10" i="3"/>
  <c r="L7" i="3" s="1"/>
  <c r="G11" i="3"/>
  <c r="M7" i="3" s="1"/>
  <c r="N26" i="14" l="1"/>
  <c r="N27" i="14"/>
  <c r="N25" i="14"/>
  <c r="C24" i="3"/>
  <c r="N23" i="14"/>
  <c r="N22" i="14"/>
  <c r="M8" i="3"/>
  <c r="L8" i="3"/>
  <c r="N7" i="3"/>
  <c r="C25" i="3"/>
  <c r="H20" i="3" s="1"/>
  <c r="M9" i="3" l="1"/>
  <c r="L27" i="3" s="1"/>
  <c r="O7" i="3"/>
  <c r="L23" i="3" s="1"/>
  <c r="L26" i="3"/>
  <c r="L9" i="3"/>
  <c r="G23" i="3"/>
  <c r="G22" i="3"/>
  <c r="H21" i="3"/>
  <c r="H24" i="3"/>
  <c r="G24" i="3"/>
  <c r="H23" i="3"/>
  <c r="H22" i="3"/>
  <c r="G21" i="3"/>
  <c r="G20" i="3"/>
  <c r="D12" i="3"/>
  <c r="E12" i="3"/>
  <c r="F12" i="3"/>
  <c r="C12" i="3"/>
  <c r="H7" i="3"/>
  <c r="H8" i="3"/>
  <c r="H9" i="3"/>
  <c r="H10" i="3"/>
  <c r="H11" i="3"/>
  <c r="H6" i="3"/>
  <c r="G6" i="3"/>
  <c r="K6" i="3" s="1"/>
  <c r="Q25" i="3" l="1"/>
  <c r="Q27" i="3"/>
  <c r="S27" i="3" s="1"/>
  <c r="Q23" i="3"/>
  <c r="Q22" i="3"/>
  <c r="H12" i="3"/>
  <c r="Q24" i="3"/>
  <c r="S24" i="3" s="1"/>
  <c r="Q26" i="3"/>
  <c r="S26" i="3" s="1"/>
  <c r="K8" i="3"/>
  <c r="K9" i="3" s="1"/>
  <c r="N6" i="3"/>
  <c r="G12" i="3"/>
  <c r="D22" i="3" l="1"/>
  <c r="D23" i="3"/>
  <c r="O6" i="3"/>
  <c r="L22" i="3" s="1"/>
  <c r="S25" i="3"/>
  <c r="S23" i="3"/>
  <c r="S22" i="3"/>
  <c r="D21" i="3"/>
  <c r="E22" i="3"/>
  <c r="E26" i="3"/>
  <c r="N8" i="3"/>
  <c r="L25" i="3"/>
  <c r="E20" i="3" l="1"/>
  <c r="D25" i="3"/>
  <c r="E25" i="3" s="1"/>
  <c r="E21" i="3"/>
  <c r="D24" i="3"/>
  <c r="E24" i="3" s="1"/>
  <c r="E23" i="3"/>
  <c r="F22" i="3" l="1"/>
  <c r="I22" i="3" s="1"/>
  <c r="P18" i="3"/>
  <c r="R18" i="3" s="1"/>
  <c r="Q19" i="3" s="1"/>
  <c r="Q28" i="3" s="1"/>
  <c r="F24" i="3"/>
  <c r="I24" i="3" s="1"/>
  <c r="F20" i="3"/>
  <c r="I20" i="3" s="1"/>
  <c r="F21" i="3"/>
  <c r="I21" i="3" s="1"/>
  <c r="K18" i="3"/>
  <c r="N11" i="3"/>
  <c r="F23" i="3"/>
  <c r="I23" i="3" s="1"/>
  <c r="L19" i="3" l="1"/>
  <c r="M18" i="3"/>
  <c r="L28" i="3" l="1"/>
  <c r="L24" i="3"/>
  <c r="N27" i="3"/>
  <c r="N26" i="3"/>
  <c r="N25" i="3"/>
  <c r="N23" i="3" l="1"/>
  <c r="N22" i="3"/>
</calcChain>
</file>

<file path=xl/sharedStrings.xml><?xml version="1.0" encoding="utf-8"?>
<sst xmlns="http://schemas.openxmlformats.org/spreadsheetml/2006/main" count="248" uniqueCount="57">
  <si>
    <t>Total</t>
  </si>
  <si>
    <t>RERATA</t>
  </si>
  <si>
    <t>PERLAKUAN</t>
  </si>
  <si>
    <t>SAMPEL</t>
  </si>
  <si>
    <t>ULANGAN</t>
  </si>
  <si>
    <t>TOTAL</t>
  </si>
  <si>
    <t>TABEL 2 ARAH</t>
  </si>
  <si>
    <t>Rerata</t>
  </si>
  <si>
    <t>FK</t>
  </si>
  <si>
    <t>t (perlakuan)</t>
  </si>
  <si>
    <t>r (ulangan)</t>
  </si>
  <si>
    <t>KK</t>
  </si>
  <si>
    <t>TABEL ANOVA RAK FAKTORIAL UJI WARNA L</t>
  </si>
  <si>
    <t>SK</t>
  </si>
  <si>
    <t>DB</t>
  </si>
  <si>
    <t>JK</t>
  </si>
  <si>
    <t>KT</t>
  </si>
  <si>
    <t>F Hit</t>
  </si>
  <si>
    <t>F Tab</t>
  </si>
  <si>
    <t>KET</t>
  </si>
  <si>
    <t>Kelompok</t>
  </si>
  <si>
    <t>Perlakuan</t>
  </si>
  <si>
    <t>Galat/sisa</t>
  </si>
  <si>
    <t>Akar KTG/t</t>
  </si>
  <si>
    <t>BNJ Tabel</t>
  </si>
  <si>
    <t>BNJ Hit</t>
  </si>
  <si>
    <t>BNJ 5%</t>
  </si>
  <si>
    <t>rata-rata</t>
  </si>
  <si>
    <t xml:space="preserve">notasi </t>
  </si>
  <si>
    <t>Standar Devisiasi</t>
  </si>
  <si>
    <t xml:space="preserve"> </t>
  </si>
  <si>
    <t>TABEL ANOVA RAK FAKTORIAL UJI WARNA A</t>
  </si>
  <si>
    <t>notasi</t>
  </si>
  <si>
    <t>Akar KTG/r</t>
  </si>
  <si>
    <t>TABEL ANOVA RAK FAKTORIAL UJI WARNA B</t>
  </si>
  <si>
    <t>a</t>
  </si>
  <si>
    <t>b</t>
  </si>
  <si>
    <t>ab</t>
  </si>
  <si>
    <t>c</t>
  </si>
  <si>
    <t>bc</t>
  </si>
  <si>
    <t>B1P1</t>
  </si>
  <si>
    <t>B1P2</t>
  </si>
  <si>
    <t>B1P3</t>
  </si>
  <si>
    <t>B2P1</t>
  </si>
  <si>
    <t>B2P2</t>
  </si>
  <si>
    <t>B2P3</t>
  </si>
  <si>
    <t>FAKTOR B</t>
  </si>
  <si>
    <t>FAKTOR P</t>
  </si>
  <si>
    <t>B1</t>
  </si>
  <si>
    <t>B2</t>
  </si>
  <si>
    <t>P1</t>
  </si>
  <si>
    <t>P2</t>
  </si>
  <si>
    <t>P3</t>
  </si>
  <si>
    <t>B</t>
  </si>
  <si>
    <t>P</t>
  </si>
  <si>
    <t>BxP</t>
  </si>
  <si>
    <t>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</si>
</sst>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  <charset val="1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2" fontId="1" fillId="2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vertical="center"/>
    </xf>
    <xf numFmtId="2" fontId="2" fillId="4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5" borderId="0" xfId="0" applyFont="1" applyFill="1" applyAlignment="1">
      <alignment vertical="center"/>
    </xf>
    <xf numFmtId="2" fontId="2" fillId="5" borderId="0" xfId="0" applyNumberFormat="1" applyFont="1" applyFill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2" fontId="2" fillId="2" borderId="14" xfId="0" applyNumberFormat="1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0" borderId="0" xfId="0" applyFont="1" applyAlignment="1">
      <alignment vertical="center"/>
    </xf>
    <xf numFmtId="0" fontId="2" fillId="5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2" fontId="2" fillId="0" borderId="1" xfId="0" applyNumberFormat="1" applyFont="1" applyBorder="1"/>
    <xf numFmtId="0" fontId="0" fillId="0" borderId="17" xfId="0" applyBorder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2" fontId="1" fillId="7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vertical="center"/>
    </xf>
    <xf numFmtId="2" fontId="6" fillId="0" borderId="1" xfId="0" applyNumberFormat="1" applyFont="1" applyBorder="1"/>
    <xf numFmtId="2" fontId="2" fillId="0" borderId="0" xfId="0" applyNumberFormat="1" applyFont="1"/>
    <xf numFmtId="2" fontId="6" fillId="0" borderId="0" xfId="0" applyNumberFormat="1" applyFont="1"/>
    <xf numFmtId="2" fontId="2" fillId="0" borderId="2" xfId="0" applyNumberFormat="1" applyFont="1" applyBorder="1"/>
    <xf numFmtId="2" fontId="6" fillId="0" borderId="2" xfId="0" applyNumberFormat="1" applyFont="1" applyBorder="1"/>
    <xf numFmtId="0" fontId="2" fillId="5" borderId="17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5" borderId="0" xfId="0" applyFont="1" applyFill="1" applyAlignment="1">
      <alignment horizontal="center" vertical="center"/>
    </xf>
    <xf numFmtId="2" fontId="2" fillId="5" borderId="0" xfId="0" applyNumberFormat="1" applyFont="1" applyFill="1" applyAlignment="1">
      <alignment horizontal="center"/>
    </xf>
    <xf numFmtId="0" fontId="2" fillId="0" borderId="0" xfId="0" applyFont="1"/>
    <xf numFmtId="2" fontId="5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2" fontId="2" fillId="5" borderId="4" xfId="0" applyNumberFormat="1" applyFont="1" applyFill="1" applyBorder="1" applyAlignment="1">
      <alignment horizontal="center" vertical="center"/>
    </xf>
    <xf numFmtId="2" fontId="2" fillId="5" borderId="6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3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2" fontId="2" fillId="5" borderId="1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Warna (L)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('WARNA L'!$B$6,'WARNA L'!$B$7,'WARNA L'!$B$8,'WARNA L'!$B$9,'WARNA L'!$B$10,'WARNA L'!$B$11)</c:f>
              <c:strCache>
                <c:ptCount val="6"/>
                <c:pt idx="0">
                  <c:v>B1P1</c:v>
                </c:pt>
                <c:pt idx="1">
                  <c:v>B1P2</c:v>
                </c:pt>
                <c:pt idx="2">
                  <c:v>B1P3</c:v>
                </c:pt>
                <c:pt idx="3">
                  <c:v>B2P1</c:v>
                </c:pt>
                <c:pt idx="4">
                  <c:v>B2P2</c:v>
                </c:pt>
                <c:pt idx="5">
                  <c:v>B2P3</c:v>
                </c:pt>
              </c:strCache>
            </c:strRef>
          </c:cat>
          <c:val>
            <c:numRef>
              <c:f>'WARNA L'!$H$6:$H$11</c:f>
              <c:numCache>
                <c:formatCode>0.00</c:formatCode>
                <c:ptCount val="6"/>
                <c:pt idx="0">
                  <c:v>73.625</c:v>
                </c:pt>
                <c:pt idx="1">
                  <c:v>74.307500000000005</c:v>
                </c:pt>
                <c:pt idx="2">
                  <c:v>76.694999999999993</c:v>
                </c:pt>
                <c:pt idx="3">
                  <c:v>73.977499999999992</c:v>
                </c:pt>
                <c:pt idx="4">
                  <c:v>75.742500000000007</c:v>
                </c:pt>
                <c:pt idx="5">
                  <c:v>77.655000000000001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2A-4573-AA58-968625557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254464"/>
        <c:axId val="231367424"/>
      </c:barChart>
      <c:catAx>
        <c:axId val="232254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1367424"/>
        <c:crosses val="autoZero"/>
        <c:auto val="1"/>
        <c:lblAlgn val="ctr"/>
        <c:lblOffset val="100"/>
        <c:noMultiLvlLbl val="0"/>
      </c:catAx>
      <c:valAx>
        <c:axId val="23136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54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Warna L (Lightness)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('WARNA L'!$K$25,'WARNA L'!$K$26,'WARNA L'!$K$27)</c:f>
              <c:strCache>
                <c:ptCount val="3"/>
                <c:pt idx="0">
                  <c:v>P1</c:v>
                </c:pt>
                <c:pt idx="1">
                  <c:v>P2</c:v>
                </c:pt>
                <c:pt idx="2">
                  <c:v>P3</c:v>
                </c:pt>
              </c:strCache>
            </c:strRef>
          </c:cat>
          <c:val>
            <c:numRef>
              <c:f>'WARNA L'!$L$25:$L$27</c:f>
              <c:numCache>
                <c:formatCode>0.00</c:formatCode>
                <c:ptCount val="3"/>
                <c:pt idx="0">
                  <c:v>73.801249999999996</c:v>
                </c:pt>
                <c:pt idx="1">
                  <c:v>75.025000000000006</c:v>
                </c:pt>
                <c:pt idx="2">
                  <c:v>77.174999999999997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5D-4827-ACE2-2B6FAEDC0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109184"/>
        <c:axId val="232110720"/>
      </c:barChart>
      <c:catAx>
        <c:axId val="23210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110720"/>
        <c:crosses val="autoZero"/>
        <c:auto val="1"/>
        <c:lblAlgn val="ctr"/>
        <c:lblOffset val="100"/>
        <c:noMultiLvlLbl val="0"/>
      </c:catAx>
      <c:valAx>
        <c:axId val="23211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109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Warna</a:t>
            </a:r>
            <a:r>
              <a:rPr lang="en-ID" baseline="0"/>
              <a:t> L </a:t>
            </a:r>
            <a:r>
              <a:rPr lang="en-ID" i="1" baseline="0"/>
              <a:t>(lightness)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60℃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'WARNA L'!$L$25</c:f>
              <c:numCache>
                <c:formatCode>0.00</c:formatCode>
                <c:ptCount val="1"/>
                <c:pt idx="0">
                  <c:v>73.801249999999996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8-406C-980D-A4835FB203CC}"/>
            </c:ext>
          </c:extLst>
        </c:ser>
        <c:ser>
          <c:idx val="1"/>
          <c:order val="1"/>
          <c:tx>
            <c:v>70℃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'WARNA L'!$L$26</c:f>
              <c:numCache>
                <c:formatCode>0.00</c:formatCode>
                <c:ptCount val="1"/>
                <c:pt idx="0">
                  <c:v>75.025000000000006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8-406C-980D-A4835FB203CC}"/>
            </c:ext>
          </c:extLst>
        </c:ser>
        <c:ser>
          <c:idx val="2"/>
          <c:order val="2"/>
          <c:tx>
            <c:v>80℃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'WARNA L'!$L$27</c:f>
              <c:numCache>
                <c:formatCode>0.00</c:formatCode>
                <c:ptCount val="1"/>
                <c:pt idx="0">
                  <c:v>77.174999999999997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C8-406C-980D-A4835FB203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32798464"/>
        <c:axId val="232804352"/>
      </c:barChart>
      <c:catAx>
        <c:axId val="23279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804352"/>
        <c:crosses val="autoZero"/>
        <c:auto val="1"/>
        <c:lblAlgn val="ctr"/>
        <c:lblOffset val="100"/>
        <c:noMultiLvlLbl val="0"/>
      </c:catAx>
      <c:valAx>
        <c:axId val="232804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79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Warna (A)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('WARNA A'!$K$35,'WARNA A'!$K$36,'WARNA A'!$K$37,'WARNA A'!$K$38,'WARNA A'!$K$39,'WARNA A'!$K$40)</c:f>
              <c:strCache>
                <c:ptCount val="6"/>
                <c:pt idx="0">
                  <c:v>B1P1</c:v>
                </c:pt>
                <c:pt idx="1">
                  <c:v>B1P2</c:v>
                </c:pt>
                <c:pt idx="2">
                  <c:v>B1P3</c:v>
                </c:pt>
                <c:pt idx="3">
                  <c:v>B2P1</c:v>
                </c:pt>
                <c:pt idx="4">
                  <c:v>B2P2</c:v>
                </c:pt>
                <c:pt idx="5">
                  <c:v>B2P3</c:v>
                </c:pt>
              </c:strCache>
            </c:strRef>
          </c:cat>
          <c:val>
            <c:numRef>
              <c:f>'WARNA A'!$L$35:$L$40</c:f>
              <c:numCache>
                <c:formatCode>0.00</c:formatCode>
                <c:ptCount val="6"/>
                <c:pt idx="0">
                  <c:v>4.9625000000000004</c:v>
                </c:pt>
                <c:pt idx="1">
                  <c:v>5.7425000000000006</c:v>
                </c:pt>
                <c:pt idx="2">
                  <c:v>5.6150000000000002</c:v>
                </c:pt>
                <c:pt idx="3">
                  <c:v>5.0824999999999996</c:v>
                </c:pt>
                <c:pt idx="4">
                  <c:v>4.9625000000000004</c:v>
                </c:pt>
                <c:pt idx="5">
                  <c:v>5.03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C9-42AC-ACAE-0A54D41948D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32304640"/>
        <c:axId val="232307328"/>
      </c:barChart>
      <c:catAx>
        <c:axId val="232304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307328"/>
        <c:crosses val="autoZero"/>
        <c:auto val="1"/>
        <c:lblAlgn val="ctr"/>
        <c:lblOffset val="100"/>
        <c:noMultiLvlLbl val="0"/>
      </c:catAx>
      <c:valAx>
        <c:axId val="23230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304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Warna A </a:t>
            </a:r>
            <a:r>
              <a:rPr lang="en-ID" i="1"/>
              <a:t>(Redness)</a:t>
            </a:r>
            <a:endParaRPr lang="en-ID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('WARNA A'!$K$22,'WARNA A'!$K$23)</c:f>
              <c:strCache>
                <c:ptCount val="2"/>
                <c:pt idx="0">
                  <c:v>B1</c:v>
                </c:pt>
                <c:pt idx="1">
                  <c:v>B2</c:v>
                </c:pt>
              </c:strCache>
            </c:strRef>
          </c:cat>
          <c:val>
            <c:numRef>
              <c:f>'WARNA A'!$L$22:$L$23</c:f>
              <c:numCache>
                <c:formatCode>0.00</c:formatCode>
                <c:ptCount val="2"/>
                <c:pt idx="0">
                  <c:v>5.44</c:v>
                </c:pt>
                <c:pt idx="1">
                  <c:v>5.0249999999999995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A7-4FF2-8D9B-4F636DEDD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319616"/>
        <c:axId val="232595840"/>
      </c:barChart>
      <c:catAx>
        <c:axId val="2323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595840"/>
        <c:crosses val="autoZero"/>
        <c:auto val="1"/>
        <c:lblAlgn val="ctr"/>
        <c:lblOffset val="100"/>
        <c:noMultiLvlLbl val="0"/>
      </c:catAx>
      <c:valAx>
        <c:axId val="23259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319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Warna (B)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('WARNA B'!$K$35,'WARNA B'!$K$36,'WARNA B'!$K$37,'WARNA B'!$K$38,'WARNA B'!$K$39,'WARNA B'!$K$40)</c:f>
              <c:strCache>
                <c:ptCount val="6"/>
                <c:pt idx="0">
                  <c:v>B1P1</c:v>
                </c:pt>
                <c:pt idx="1">
                  <c:v>B1P2</c:v>
                </c:pt>
                <c:pt idx="2">
                  <c:v>B1P3</c:v>
                </c:pt>
                <c:pt idx="3">
                  <c:v>B2P1</c:v>
                </c:pt>
                <c:pt idx="4">
                  <c:v>B2P2</c:v>
                </c:pt>
                <c:pt idx="5">
                  <c:v>B2P3</c:v>
                </c:pt>
              </c:strCache>
            </c:strRef>
          </c:cat>
          <c:val>
            <c:numRef>
              <c:f>'WARNA B'!$L$35:$L$40</c:f>
              <c:numCache>
                <c:formatCode>0.00</c:formatCode>
                <c:ptCount val="6"/>
                <c:pt idx="0">
                  <c:v>11.957500000000001</c:v>
                </c:pt>
                <c:pt idx="1">
                  <c:v>14.3</c:v>
                </c:pt>
                <c:pt idx="2">
                  <c:v>15</c:v>
                </c:pt>
                <c:pt idx="3">
                  <c:v>12.315000000000001</c:v>
                </c:pt>
                <c:pt idx="4">
                  <c:v>13.237500000000001</c:v>
                </c:pt>
                <c:pt idx="5">
                  <c:v>14.1875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36-4E4E-A99B-5108CE2E992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32359040"/>
        <c:axId val="232360192"/>
      </c:barChart>
      <c:catAx>
        <c:axId val="23235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360192"/>
        <c:crosses val="autoZero"/>
        <c:auto val="1"/>
        <c:lblAlgn val="ctr"/>
        <c:lblOffset val="100"/>
        <c:noMultiLvlLbl val="0"/>
      </c:catAx>
      <c:valAx>
        <c:axId val="23236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359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16934</xdr:rowOff>
    </xdr:from>
    <xdr:to>
      <xdr:col>6</xdr:col>
      <xdr:colOff>440267</xdr:colOff>
      <xdr:row>43</xdr:row>
      <xdr:rowOff>152401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75D201-6C25-B3AA-CA34-797ADC1B72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481832</xdr:colOff>
      <xdr:row>29</xdr:row>
      <xdr:rowOff>23861</xdr:rowOff>
    </xdr:from>
    <xdr:to>
      <xdr:col>12</xdr:col>
      <xdr:colOff>858213</xdr:colOff>
      <xdr:row>43</xdr:row>
      <xdr:rowOff>159328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7B55F82-6472-309E-85F5-0F7593FCCF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22322</xdr:colOff>
      <xdr:row>29</xdr:row>
      <xdr:rowOff>10007</xdr:rowOff>
    </xdr:from>
    <xdr:to>
      <xdr:col>21</xdr:col>
      <xdr:colOff>245534</xdr:colOff>
      <xdr:row>44</xdr:row>
      <xdr:rowOff>30789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3C762B5-33CB-88BA-275B-81D006D7D8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43</xdr:row>
      <xdr:rowOff>14288</xdr:rowOff>
    </xdr:from>
    <xdr:to>
      <xdr:col>6</xdr:col>
      <xdr:colOff>457200</xdr:colOff>
      <xdr:row>58</xdr:row>
      <xdr:rowOff>23813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D54A86-F847-3DB1-5198-4C500733A3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43</xdr:row>
      <xdr:rowOff>4763</xdr:rowOff>
    </xdr:from>
    <xdr:to>
      <xdr:col>13</xdr:col>
      <xdr:colOff>238125</xdr:colOff>
      <xdr:row>58</xdr:row>
      <xdr:rowOff>14288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A06FE7C-DAEA-0CDD-FA2D-3DE07D036D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699770</xdr:colOff>
      <xdr:row>30</xdr:row>
      <xdr:rowOff>4128</xdr:rowOff>
    </xdr:from>
    <xdr:to>
      <xdr:col>8</xdr:col>
      <xdr:colOff>680720</xdr:colOff>
      <xdr:row>43</xdr:row>
      <xdr:rowOff>155893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D6B978-2871-499E-AE56-B59B7CD621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V29"/>
  <sheetViews>
    <sheetView tabSelected="1" topLeftCell="F1" zoomScale="130" zoomScaleNormal="130" workbookViewId="0">
      <selection activeCell="H28" sqref="H28"/>
    </sheetView>
  </sheetViews>
  <sheetFormatPr defaultRowHeight="15" x14ac:dyDescent="0.25"/>
  <cols>
    <col min="2" max="2" width="14.42578125" bestFit="1" customWidth="1"/>
    <col min="3" max="3" width="10.5703125" bestFit="1" customWidth="1"/>
    <col min="4" max="4" width="11.85546875" customWidth="1"/>
    <col min="5" max="5" width="11" bestFit="1" customWidth="1"/>
    <col min="6" max="6" width="13" customWidth="1"/>
    <col min="7" max="7" width="10.7109375" customWidth="1"/>
    <col min="8" max="8" width="10.5703125" bestFit="1" customWidth="1"/>
    <col min="9" max="9" width="10.42578125" bestFit="1" customWidth="1"/>
    <col min="10" max="10" width="14.7109375" customWidth="1"/>
    <col min="11" max="13" width="12.7109375" customWidth="1"/>
    <col min="14" max="14" width="10.5703125" bestFit="1" customWidth="1"/>
    <col min="15" max="15" width="10.7109375" customWidth="1"/>
    <col min="16" max="16" width="14.85546875" customWidth="1"/>
    <col min="17" max="17" width="11.5703125" customWidth="1"/>
    <col min="18" max="18" width="12.140625" customWidth="1"/>
    <col min="19" max="22" width="8.7109375" customWidth="1"/>
  </cols>
  <sheetData>
    <row r="2" spans="2:22" ht="15.75" x14ac:dyDescent="0.25">
      <c r="J2" s="74"/>
      <c r="K2" s="74"/>
      <c r="L2" s="74"/>
      <c r="M2" s="74"/>
      <c r="N2" s="74"/>
      <c r="O2" s="74"/>
    </row>
    <row r="3" spans="2:22" ht="15.75" x14ac:dyDescent="0.25">
      <c r="B3" s="60" t="s">
        <v>3</v>
      </c>
      <c r="C3" s="61"/>
      <c r="D3" s="61"/>
      <c r="E3" s="61"/>
      <c r="F3" s="62"/>
      <c r="G3" s="57" t="s">
        <v>5</v>
      </c>
      <c r="H3" s="57" t="s">
        <v>1</v>
      </c>
      <c r="J3" s="75" t="s">
        <v>6</v>
      </c>
      <c r="K3" s="76"/>
      <c r="L3" s="76"/>
      <c r="M3" s="76"/>
      <c r="N3" s="76"/>
      <c r="O3" s="77"/>
      <c r="P3" s="10"/>
      <c r="Q3" s="54" t="s">
        <v>29</v>
      </c>
      <c r="R3" s="55"/>
      <c r="S3" s="55"/>
      <c r="T3" s="55"/>
      <c r="U3" s="55"/>
      <c r="V3" s="56"/>
    </row>
    <row r="4" spans="2:22" ht="15.75" x14ac:dyDescent="0.25">
      <c r="B4" s="57" t="s">
        <v>2</v>
      </c>
      <c r="C4" s="63" t="s">
        <v>4</v>
      </c>
      <c r="D4" s="64"/>
      <c r="E4" s="64"/>
      <c r="F4" s="65"/>
      <c r="G4" s="58"/>
      <c r="H4" s="58"/>
      <c r="J4" s="78" t="s">
        <v>46</v>
      </c>
      <c r="K4" s="78" t="s">
        <v>47</v>
      </c>
      <c r="L4" s="78"/>
      <c r="M4" s="78"/>
      <c r="N4" s="78" t="s">
        <v>5</v>
      </c>
      <c r="O4" s="78" t="s">
        <v>7</v>
      </c>
      <c r="P4" s="10"/>
      <c r="Q4" s="16" t="s">
        <v>48</v>
      </c>
      <c r="R4" s="30">
        <f>C6</f>
        <v>73.900000000000006</v>
      </c>
      <c r="S4" s="30">
        <f>D6</f>
        <v>73.58</v>
      </c>
      <c r="T4" s="30">
        <f>E6</f>
        <v>73.56</v>
      </c>
      <c r="U4" s="30">
        <f>F6</f>
        <v>73.459999999999994</v>
      </c>
      <c r="V4" s="8">
        <f>STDEV(R4:U6)</f>
        <v>1.4406277566857211</v>
      </c>
    </row>
    <row r="5" spans="2:22" ht="15.75" x14ac:dyDescent="0.25">
      <c r="B5" s="59"/>
      <c r="C5" s="1">
        <v>1</v>
      </c>
      <c r="D5" s="1">
        <v>2</v>
      </c>
      <c r="E5" s="1">
        <v>3</v>
      </c>
      <c r="F5" s="1">
        <v>4</v>
      </c>
      <c r="G5" s="59"/>
      <c r="H5" s="59"/>
      <c r="J5" s="78"/>
      <c r="K5" s="4" t="s">
        <v>50</v>
      </c>
      <c r="L5" s="4" t="s">
        <v>51</v>
      </c>
      <c r="M5" s="4" t="s">
        <v>52</v>
      </c>
      <c r="N5" s="78"/>
      <c r="O5" s="78"/>
      <c r="P5" s="10"/>
      <c r="Q5" s="16"/>
      <c r="R5" s="30">
        <f t="shared" ref="R5:U5" si="0">C7</f>
        <v>73.81</v>
      </c>
      <c r="S5" s="30">
        <f t="shared" si="0"/>
        <v>74.47</v>
      </c>
      <c r="T5" s="30">
        <f t="shared" si="0"/>
        <v>74.040000000000006</v>
      </c>
      <c r="U5" s="30">
        <f t="shared" si="0"/>
        <v>74.91</v>
      </c>
      <c r="V5" s="6"/>
    </row>
    <row r="6" spans="2:22" ht="15.75" x14ac:dyDescent="0.25">
      <c r="B6" s="2" t="s">
        <v>40</v>
      </c>
      <c r="C6" s="12">
        <v>73.900000000000006</v>
      </c>
      <c r="D6" s="33">
        <v>73.58</v>
      </c>
      <c r="E6" s="33">
        <v>73.56</v>
      </c>
      <c r="F6" s="34">
        <v>73.459999999999994</v>
      </c>
      <c r="G6" s="35">
        <f t="shared" ref="G6:G11" si="1">SUM(C6:F6)</f>
        <v>294.5</v>
      </c>
      <c r="H6" s="3">
        <f t="shared" ref="H6:H11" si="2">AVERAGE(C6:F6)</f>
        <v>73.625</v>
      </c>
      <c r="J6" s="4" t="s">
        <v>48</v>
      </c>
      <c r="K6" s="5">
        <f>G6</f>
        <v>294.5</v>
      </c>
      <c r="L6" s="5">
        <f>G7</f>
        <v>297.23</v>
      </c>
      <c r="M6" s="5">
        <f>G8</f>
        <v>306.77999999999997</v>
      </c>
      <c r="N6" s="6">
        <f>SUM(K6:M6)</f>
        <v>898.51</v>
      </c>
      <c r="O6" s="6">
        <f>N6/(K13*K15)</f>
        <v>74.875833333333333</v>
      </c>
      <c r="P6" s="10"/>
      <c r="Q6" s="6"/>
      <c r="R6" s="30">
        <f t="shared" ref="R6:U6" si="3">C8</f>
        <v>76.03</v>
      </c>
      <c r="S6" s="30">
        <f t="shared" si="3"/>
        <v>77.3</v>
      </c>
      <c r="T6" s="30">
        <f t="shared" si="3"/>
        <v>77.180000000000007</v>
      </c>
      <c r="U6" s="30">
        <f t="shared" si="3"/>
        <v>76.27</v>
      </c>
      <c r="V6" s="6"/>
    </row>
    <row r="7" spans="2:22" ht="15.75" x14ac:dyDescent="0.25">
      <c r="B7" s="2" t="s">
        <v>41</v>
      </c>
      <c r="C7" s="33">
        <v>73.81</v>
      </c>
      <c r="D7" s="33">
        <v>74.47</v>
      </c>
      <c r="E7" s="33">
        <v>74.040000000000006</v>
      </c>
      <c r="F7" s="33">
        <v>74.91</v>
      </c>
      <c r="G7" s="35">
        <f t="shared" si="1"/>
        <v>297.23</v>
      </c>
      <c r="H7" s="3">
        <f t="shared" si="2"/>
        <v>74.307500000000005</v>
      </c>
      <c r="J7" s="4" t="s">
        <v>49</v>
      </c>
      <c r="K7" s="5">
        <f>G9</f>
        <v>295.90999999999997</v>
      </c>
      <c r="L7" s="5">
        <f>G10</f>
        <v>302.97000000000003</v>
      </c>
      <c r="M7" s="5">
        <f>G11</f>
        <v>310.62</v>
      </c>
      <c r="N7" s="6">
        <f>SUM(K7:M7)</f>
        <v>909.5</v>
      </c>
      <c r="O7" s="6">
        <f>N7/(K13*K15)</f>
        <v>75.791666666666671</v>
      </c>
      <c r="P7" s="10"/>
      <c r="Q7" s="6" t="s">
        <v>49</v>
      </c>
      <c r="R7" s="30">
        <f>C9</f>
        <v>73.84</v>
      </c>
      <c r="S7" s="30">
        <f>D9</f>
        <v>73.930000000000007</v>
      </c>
      <c r="T7" s="30">
        <f>E9</f>
        <v>74.05</v>
      </c>
      <c r="U7" s="30">
        <f>F9</f>
        <v>74.09</v>
      </c>
      <c r="V7" s="8">
        <f>STDEV(R7:U9)</f>
        <v>1.5756662852343577</v>
      </c>
    </row>
    <row r="8" spans="2:22" ht="15.75" x14ac:dyDescent="0.25">
      <c r="B8" s="2" t="s">
        <v>42</v>
      </c>
      <c r="C8" s="33">
        <v>76.03</v>
      </c>
      <c r="D8" s="33">
        <v>77.3</v>
      </c>
      <c r="E8" s="33">
        <v>77.180000000000007</v>
      </c>
      <c r="F8" s="33">
        <v>76.27</v>
      </c>
      <c r="G8" s="35">
        <f t="shared" si="1"/>
        <v>306.77999999999997</v>
      </c>
      <c r="H8" s="3">
        <f t="shared" si="2"/>
        <v>76.694999999999993</v>
      </c>
      <c r="J8" s="4" t="s">
        <v>5</v>
      </c>
      <c r="K8" s="7">
        <f>SUM(K6:K7)</f>
        <v>590.41</v>
      </c>
      <c r="L8" s="7">
        <f t="shared" ref="L8:M8" si="4">SUM(L6:L7)</f>
        <v>600.20000000000005</v>
      </c>
      <c r="M8" s="7">
        <f t="shared" si="4"/>
        <v>617.4</v>
      </c>
      <c r="N8" s="8">
        <f>SUM(K8:M8)</f>
        <v>1808.0100000000002</v>
      </c>
      <c r="O8" s="11"/>
      <c r="P8" s="10"/>
      <c r="Q8" s="6"/>
      <c r="R8" s="30">
        <f t="shared" ref="R8:R9" si="5">C10</f>
        <v>75.48</v>
      </c>
      <c r="S8" s="30">
        <f t="shared" ref="S8:S9" si="6">D10</f>
        <v>76.02</v>
      </c>
      <c r="T8" s="30">
        <f t="shared" ref="T8:T9" si="7">E10</f>
        <v>75.91</v>
      </c>
      <c r="U8" s="30">
        <f t="shared" ref="U8:U9" si="8">F10</f>
        <v>75.56</v>
      </c>
      <c r="V8" s="6"/>
    </row>
    <row r="9" spans="2:22" ht="15.75" x14ac:dyDescent="0.25">
      <c r="B9" s="2" t="s">
        <v>43</v>
      </c>
      <c r="C9" s="33">
        <v>73.84</v>
      </c>
      <c r="D9" s="33">
        <v>73.930000000000007</v>
      </c>
      <c r="E9" s="33">
        <v>74.05</v>
      </c>
      <c r="F9" s="33">
        <v>74.09</v>
      </c>
      <c r="G9" s="35">
        <f t="shared" si="1"/>
        <v>295.90999999999997</v>
      </c>
      <c r="H9" s="3">
        <f t="shared" si="2"/>
        <v>73.977499999999992</v>
      </c>
      <c r="J9" s="4" t="s">
        <v>7</v>
      </c>
      <c r="K9" s="7">
        <f>K8/(K13*K14)</f>
        <v>73.801249999999996</v>
      </c>
      <c r="L9" s="7">
        <f>L8/(K13*K14)</f>
        <v>75.025000000000006</v>
      </c>
      <c r="M9" s="7">
        <f>M8/(K13*K14)</f>
        <v>77.174999999999997</v>
      </c>
      <c r="P9" s="10"/>
      <c r="Q9" s="16"/>
      <c r="R9" s="30">
        <f t="shared" si="5"/>
        <v>77.64</v>
      </c>
      <c r="S9" s="30">
        <f t="shared" si="6"/>
        <v>77.66</v>
      </c>
      <c r="T9" s="30">
        <f t="shared" si="7"/>
        <v>77.680000000000007</v>
      </c>
      <c r="U9" s="30">
        <f t="shared" si="8"/>
        <v>77.64</v>
      </c>
      <c r="V9" s="6"/>
    </row>
    <row r="10" spans="2:22" ht="15.75" x14ac:dyDescent="0.25">
      <c r="B10" s="2" t="s">
        <v>44</v>
      </c>
      <c r="C10" s="33">
        <v>75.48</v>
      </c>
      <c r="D10" s="33">
        <v>76.02</v>
      </c>
      <c r="E10" s="33">
        <v>75.91</v>
      </c>
      <c r="F10" s="33">
        <v>75.56</v>
      </c>
      <c r="G10" s="35">
        <f t="shared" si="1"/>
        <v>302.97000000000003</v>
      </c>
      <c r="H10" s="3">
        <f t="shared" si="2"/>
        <v>75.742500000000007</v>
      </c>
      <c r="Q10" s="16" t="s">
        <v>50</v>
      </c>
      <c r="R10" s="30">
        <f>R4</f>
        <v>73.900000000000006</v>
      </c>
      <c r="S10" s="30">
        <f t="shared" ref="S10:U10" si="9">S4</f>
        <v>73.58</v>
      </c>
      <c r="T10" s="30">
        <f t="shared" si="9"/>
        <v>73.56</v>
      </c>
      <c r="U10" s="30">
        <f t="shared" si="9"/>
        <v>73.459999999999994</v>
      </c>
      <c r="V10" s="8">
        <f>STDEV(R10:U11)</f>
        <v>0.23805386545306073</v>
      </c>
    </row>
    <row r="11" spans="2:22" ht="15.75" x14ac:dyDescent="0.25">
      <c r="B11" s="2" t="s">
        <v>45</v>
      </c>
      <c r="C11" s="33">
        <v>77.64</v>
      </c>
      <c r="D11" s="33">
        <v>77.66</v>
      </c>
      <c r="E11" s="33">
        <v>77.680000000000007</v>
      </c>
      <c r="F11" s="33">
        <v>77.64</v>
      </c>
      <c r="G11" s="35">
        <f t="shared" si="1"/>
        <v>310.62</v>
      </c>
      <c r="H11" s="3">
        <f t="shared" si="2"/>
        <v>77.655000000000001</v>
      </c>
      <c r="J11" s="14" t="s">
        <v>8</v>
      </c>
      <c r="K11" s="15">
        <f>G12^2/(K13*K14*K15)</f>
        <v>136204.17333750005</v>
      </c>
      <c r="M11" s="17" t="s">
        <v>11</v>
      </c>
      <c r="N11" s="18">
        <f>(SQRT(E25)/H12)*100</f>
        <v>7.7140736851383007E-2</v>
      </c>
      <c r="Q11" s="16"/>
      <c r="R11" s="30">
        <f>R7</f>
        <v>73.84</v>
      </c>
      <c r="S11" s="30">
        <f t="shared" ref="S11:U11" si="10">S7</f>
        <v>73.930000000000007</v>
      </c>
      <c r="T11" s="30">
        <f t="shared" si="10"/>
        <v>74.05</v>
      </c>
      <c r="U11" s="30">
        <f t="shared" si="10"/>
        <v>74.09</v>
      </c>
      <c r="V11" s="6"/>
    </row>
    <row r="12" spans="2:22" ht="15.75" x14ac:dyDescent="0.25">
      <c r="B12" s="2" t="s">
        <v>5</v>
      </c>
      <c r="C12" s="3">
        <f t="shared" ref="C12:G12" si="11">SUM(C6:C11)</f>
        <v>450.70000000000005</v>
      </c>
      <c r="D12" s="3">
        <f t="shared" si="11"/>
        <v>452.96000000000004</v>
      </c>
      <c r="E12" s="3">
        <f t="shared" si="11"/>
        <v>452.42</v>
      </c>
      <c r="F12" s="3">
        <f t="shared" si="11"/>
        <v>451.93</v>
      </c>
      <c r="G12" s="13">
        <f t="shared" si="11"/>
        <v>1808.0100000000002</v>
      </c>
      <c r="H12" s="3">
        <f>SUM(H6:H11)</f>
        <v>452.00250000000005</v>
      </c>
      <c r="J12" s="16" t="s">
        <v>9</v>
      </c>
      <c r="K12" s="16">
        <v>6</v>
      </c>
      <c r="Q12" s="16" t="s">
        <v>51</v>
      </c>
      <c r="R12" s="30">
        <f>R5</f>
        <v>73.81</v>
      </c>
      <c r="S12" s="30">
        <f t="shared" ref="S12:U12" si="12">S5</f>
        <v>74.47</v>
      </c>
      <c r="T12" s="30">
        <f t="shared" si="12"/>
        <v>74.040000000000006</v>
      </c>
      <c r="U12" s="30">
        <f t="shared" si="12"/>
        <v>74.91</v>
      </c>
      <c r="V12" s="8">
        <f>STDEV(R12:U13)</f>
        <v>0.84803975648045249</v>
      </c>
    </row>
    <row r="13" spans="2:22" ht="15.75" x14ac:dyDescent="0.25">
      <c r="J13" s="16" t="s">
        <v>10</v>
      </c>
      <c r="K13" s="16">
        <v>4</v>
      </c>
      <c r="Q13" s="16"/>
      <c r="R13" s="30">
        <f>R8</f>
        <v>75.48</v>
      </c>
      <c r="S13" s="30">
        <f t="shared" ref="S13:U13" si="13">S8</f>
        <v>76.02</v>
      </c>
      <c r="T13" s="30">
        <f t="shared" si="13"/>
        <v>75.91</v>
      </c>
      <c r="U13" s="30">
        <f t="shared" si="13"/>
        <v>75.56</v>
      </c>
      <c r="V13" s="32"/>
    </row>
    <row r="14" spans="2:22" ht="15.75" x14ac:dyDescent="0.25">
      <c r="J14" s="16" t="s">
        <v>53</v>
      </c>
      <c r="K14" s="16">
        <v>2</v>
      </c>
      <c r="Q14" s="16" t="s">
        <v>52</v>
      </c>
      <c r="R14" s="30">
        <f>R6</f>
        <v>76.03</v>
      </c>
      <c r="S14" s="30">
        <f t="shared" ref="S14:U14" si="14">S6</f>
        <v>77.3</v>
      </c>
      <c r="T14" s="30">
        <f t="shared" si="14"/>
        <v>77.180000000000007</v>
      </c>
      <c r="U14" s="30">
        <f t="shared" si="14"/>
        <v>76.27</v>
      </c>
      <c r="V14" s="8">
        <f>STDEV(R14:U15)</f>
        <v>0.66207466130554971</v>
      </c>
    </row>
    <row r="15" spans="2:22" ht="15.75" x14ac:dyDescent="0.25">
      <c r="J15" s="16" t="s">
        <v>54</v>
      </c>
      <c r="K15" s="16">
        <v>3</v>
      </c>
      <c r="Q15" s="16"/>
      <c r="R15" s="30">
        <f>R9</f>
        <v>77.64</v>
      </c>
      <c r="S15" s="30">
        <f t="shared" ref="S15:U15" si="15">S9</f>
        <v>77.66</v>
      </c>
      <c r="T15" s="30">
        <f t="shared" si="15"/>
        <v>77.680000000000007</v>
      </c>
      <c r="U15" s="30">
        <f t="shared" si="15"/>
        <v>77.64</v>
      </c>
      <c r="V15" s="6"/>
    </row>
    <row r="16" spans="2:22" x14ac:dyDescent="0.25">
      <c r="Q16" s="31"/>
      <c r="R16" s="31"/>
      <c r="S16" s="31"/>
      <c r="T16" s="31"/>
      <c r="U16" s="31"/>
      <c r="V16" s="31"/>
    </row>
    <row r="17" spans="2:19" ht="16.5" thickBot="1" x14ac:dyDescent="0.3">
      <c r="B17" s="66" t="s">
        <v>12</v>
      </c>
      <c r="C17" s="66"/>
      <c r="D17" s="66"/>
      <c r="E17" s="66"/>
      <c r="F17" s="66"/>
      <c r="G17" s="66"/>
      <c r="H17" s="66"/>
      <c r="I17" s="66"/>
      <c r="K17" s="26" t="s">
        <v>23</v>
      </c>
      <c r="L17" s="26" t="s">
        <v>24</v>
      </c>
      <c r="M17" s="26" t="s">
        <v>25</v>
      </c>
      <c r="N17" s="27"/>
      <c r="P17" s="43" t="s">
        <v>33</v>
      </c>
      <c r="Q17" s="43" t="s">
        <v>26</v>
      </c>
      <c r="R17" s="43" t="s">
        <v>25</v>
      </c>
    </row>
    <row r="18" spans="2:19" ht="16.5" thickBot="1" x14ac:dyDescent="0.3">
      <c r="B18" s="67" t="s">
        <v>13</v>
      </c>
      <c r="C18" s="67" t="s">
        <v>14</v>
      </c>
      <c r="D18" s="67" t="s">
        <v>15</v>
      </c>
      <c r="E18" s="67" t="s">
        <v>16</v>
      </c>
      <c r="F18" s="67" t="s">
        <v>17</v>
      </c>
      <c r="G18" s="69" t="s">
        <v>18</v>
      </c>
      <c r="H18" s="70"/>
      <c r="I18" s="71" t="s">
        <v>19</v>
      </c>
      <c r="K18" s="30">
        <f>SQRT(E25/K12)</f>
        <v>0.14234722154439189</v>
      </c>
      <c r="L18" s="30">
        <f>4.08</f>
        <v>4.08</v>
      </c>
      <c r="M18" s="30">
        <f>K18*L18</f>
        <v>0.58077666390111893</v>
      </c>
      <c r="N18" s="27"/>
      <c r="P18" s="11">
        <f>SQRT(E25/4)</f>
        <v>0.17433902954333627</v>
      </c>
      <c r="Q18" s="27">
        <f>4.59</f>
        <v>4.59</v>
      </c>
      <c r="R18" s="11">
        <f>P18*Q18</f>
        <v>0.80021614560391341</v>
      </c>
    </row>
    <row r="19" spans="2:19" ht="16.5" thickBot="1" x14ac:dyDescent="0.3">
      <c r="B19" s="68"/>
      <c r="C19" s="68"/>
      <c r="D19" s="68"/>
      <c r="E19" s="68"/>
      <c r="F19" s="68"/>
      <c r="G19" s="19">
        <v>0.05</v>
      </c>
      <c r="H19" s="19">
        <v>0.01</v>
      </c>
      <c r="I19" s="72"/>
      <c r="K19" s="17" t="s">
        <v>26</v>
      </c>
      <c r="L19" s="18">
        <f>3.65*K18</f>
        <v>0.51956735863703041</v>
      </c>
      <c r="M19" s="27"/>
      <c r="N19" s="27"/>
      <c r="P19" s="44" t="s">
        <v>26</v>
      </c>
      <c r="Q19" s="45">
        <f>R18</f>
        <v>0.80021614560391341</v>
      </c>
      <c r="R19" s="46"/>
    </row>
    <row r="20" spans="2:19" ht="16.5" thickBot="1" x14ac:dyDescent="0.3">
      <c r="B20" s="20" t="s">
        <v>20</v>
      </c>
      <c r="C20" s="21">
        <f>K13-1</f>
        <v>3</v>
      </c>
      <c r="D20" s="22">
        <f>(SUMSQ(C12:F12)/(K12))-K11</f>
        <v>0.46547916665440425</v>
      </c>
      <c r="E20" s="22">
        <f>D20/C20</f>
        <v>0.15515972221813476</v>
      </c>
      <c r="F20" s="23">
        <f>E20/E25</f>
        <v>1.2762323641681743</v>
      </c>
      <c r="G20" s="22">
        <f>FINV(G19,C20,C25)</f>
        <v>3.2873821046365093</v>
      </c>
      <c r="H20" s="22">
        <f>FINV(H19,C20,C25)</f>
        <v>5.4169648578184191</v>
      </c>
      <c r="I20" s="24" t="str">
        <f>IF(F20&lt;G20,"tn",IF(F20&lt;H20,"*","**"))</f>
        <v>tn</v>
      </c>
      <c r="J20" s="9"/>
      <c r="K20" s="27"/>
      <c r="L20" s="27"/>
      <c r="M20" s="27"/>
      <c r="N20" s="27"/>
    </row>
    <row r="21" spans="2:19" ht="16.5" thickBot="1" x14ac:dyDescent="0.3">
      <c r="B21" s="20" t="s">
        <v>21</v>
      </c>
      <c r="C21" s="21">
        <f>(K14*K15)-1</f>
        <v>5</v>
      </c>
      <c r="D21" s="22">
        <f>(SUMSQ(G6:G11)/4)-K11</f>
        <v>52.882837499957532</v>
      </c>
      <c r="E21" s="22">
        <f t="shared" ref="E21:E26" si="16">D21/C21</f>
        <v>10.576567499991507</v>
      </c>
      <c r="F21" s="23">
        <f>E21/E25</f>
        <v>86.995243045883726</v>
      </c>
      <c r="G21" s="22">
        <f>FINV(G19,C21,C25)</f>
        <v>2.9012945362361564</v>
      </c>
      <c r="H21" s="22">
        <f>FINV(H19,C21,C25)</f>
        <v>4.5556139846530046</v>
      </c>
      <c r="I21" s="25" t="str">
        <f t="shared" ref="I21:I24" si="17">IF(F21&lt;G21,"tn",IF(F21&lt;H21,"*","**"))</f>
        <v>**</v>
      </c>
      <c r="J21" s="9"/>
      <c r="K21" s="29" t="s">
        <v>21</v>
      </c>
      <c r="L21" s="29" t="s">
        <v>27</v>
      </c>
      <c r="M21" s="29" t="s">
        <v>28</v>
      </c>
      <c r="N21" s="27"/>
      <c r="P21" s="36" t="s">
        <v>21</v>
      </c>
      <c r="Q21" s="36" t="s">
        <v>27</v>
      </c>
      <c r="R21" s="36" t="s">
        <v>32</v>
      </c>
      <c r="S21" s="47"/>
    </row>
    <row r="22" spans="2:19" ht="16.5" thickBot="1" x14ac:dyDescent="0.3">
      <c r="B22" s="20" t="s">
        <v>53</v>
      </c>
      <c r="C22" s="21">
        <f>K14-1</f>
        <v>1</v>
      </c>
      <c r="D22" s="22">
        <f>(SUMSQ(N6:N7))/(3*4)-K11</f>
        <v>5.0325041666219477</v>
      </c>
      <c r="E22" s="22">
        <f t="shared" si="16"/>
        <v>5.0325041666219477</v>
      </c>
      <c r="F22" s="23">
        <f>E22/E25</f>
        <v>41.393762494783907</v>
      </c>
      <c r="G22" s="22">
        <f>FINV(G19,C22,C25)</f>
        <v>4.5430771652669701</v>
      </c>
      <c r="H22" s="22">
        <f>FINV(H19,C22,C25)</f>
        <v>8.6831168176389504</v>
      </c>
      <c r="I22" s="25" t="str">
        <f t="shared" si="17"/>
        <v>**</v>
      </c>
      <c r="J22" s="9"/>
      <c r="K22" s="16" t="s">
        <v>48</v>
      </c>
      <c r="L22" s="6">
        <f>O6</f>
        <v>74.875833333333333</v>
      </c>
      <c r="M22" s="4" t="s">
        <v>35</v>
      </c>
      <c r="N22" s="11">
        <f>L22+L$24</f>
        <v>75.395400691970366</v>
      </c>
      <c r="P22" s="30" t="str">
        <f t="shared" ref="P22:P27" si="18">B6</f>
        <v>B1P1</v>
      </c>
      <c r="Q22" s="37">
        <f t="shared" ref="Q22:Q27" si="19">H6</f>
        <v>73.625</v>
      </c>
      <c r="R22" s="48" t="s">
        <v>35</v>
      </c>
      <c r="S22" s="47">
        <f t="shared" ref="S22:S27" si="20">Q22+Q$27</f>
        <v>151.28</v>
      </c>
    </row>
    <row r="23" spans="2:19" ht="16.5" thickBot="1" x14ac:dyDescent="0.3">
      <c r="B23" s="20" t="s">
        <v>54</v>
      </c>
      <c r="C23" s="21">
        <f>K15-1</f>
        <v>2</v>
      </c>
      <c r="D23" s="22">
        <f>(SUMSQ(K8:M8))/(2*4)-K11</f>
        <v>46.672674999950686</v>
      </c>
      <c r="E23" s="22">
        <f t="shared" si="16"/>
        <v>23.336337499975343</v>
      </c>
      <c r="F23" s="23">
        <f>E23/E25</f>
        <v>191.94794082416206</v>
      </c>
      <c r="G23" s="22">
        <f>FINV(G19,C23,C25)</f>
        <v>3.6823203436732408</v>
      </c>
      <c r="H23" s="22">
        <f>FINV(H19,C23,C25)</f>
        <v>6.3588734806671825</v>
      </c>
      <c r="I23" s="25" t="str">
        <f>IF(F23&lt;G23,"tn",IF(F23&lt;H23,"*","**"))</f>
        <v>**</v>
      </c>
      <c r="K23" s="16" t="s">
        <v>49</v>
      </c>
      <c r="L23" s="6">
        <f>O7</f>
        <v>75.791666666666671</v>
      </c>
      <c r="M23" s="4" t="s">
        <v>37</v>
      </c>
      <c r="N23" s="11">
        <f>L23+L$24</f>
        <v>76.311234025303705</v>
      </c>
      <c r="P23" s="30" t="str">
        <f t="shared" si="18"/>
        <v>B1P2</v>
      </c>
      <c r="Q23" s="37">
        <f t="shared" si="19"/>
        <v>74.307500000000005</v>
      </c>
      <c r="R23" s="48" t="s">
        <v>37</v>
      </c>
      <c r="S23" s="47">
        <f t="shared" si="20"/>
        <v>151.96250000000001</v>
      </c>
    </row>
    <row r="24" spans="2:19" ht="16.5" thickBot="1" x14ac:dyDescent="0.3">
      <c r="B24" s="20" t="s">
        <v>55</v>
      </c>
      <c r="C24" s="21">
        <f>C22*C23</f>
        <v>2</v>
      </c>
      <c r="D24" s="22">
        <f>D21-D22-D23</f>
        <v>1.1776583333848976</v>
      </c>
      <c r="E24" s="22">
        <f t="shared" si="16"/>
        <v>0.58882916669244878</v>
      </c>
      <c r="F24" s="23">
        <f>E24/E25</f>
        <v>4.8432855431552717</v>
      </c>
      <c r="G24" s="22">
        <f>FINV(G19,C24,C25)</f>
        <v>3.6823203436732408</v>
      </c>
      <c r="H24" s="22">
        <f>FINV(H19,C24,C25)</f>
        <v>6.3588734806671825</v>
      </c>
      <c r="I24" s="25" t="str">
        <f t="shared" si="17"/>
        <v>*</v>
      </c>
      <c r="K24" s="28" t="s">
        <v>26</v>
      </c>
      <c r="L24" s="52">
        <f>L19</f>
        <v>0.51956735863703041</v>
      </c>
      <c r="M24" s="53"/>
      <c r="N24" s="11"/>
      <c r="P24" s="30" t="str">
        <f t="shared" si="18"/>
        <v>B1P3</v>
      </c>
      <c r="Q24" s="37">
        <f t="shared" si="19"/>
        <v>76.694999999999993</v>
      </c>
      <c r="R24" s="48" t="s">
        <v>36</v>
      </c>
      <c r="S24" s="47">
        <f t="shared" si="20"/>
        <v>154.35</v>
      </c>
    </row>
    <row r="25" spans="2:19" ht="16.5" thickBot="1" x14ac:dyDescent="0.3">
      <c r="B25" s="20" t="s">
        <v>22</v>
      </c>
      <c r="C25" s="21">
        <f>C26-C20-C21</f>
        <v>15</v>
      </c>
      <c r="D25" s="22">
        <f>D26-D20-D21</f>
        <v>1.8236458333267365</v>
      </c>
      <c r="E25" s="22">
        <f t="shared" si="16"/>
        <v>0.1215763888884491</v>
      </c>
      <c r="K25" s="16" t="s">
        <v>50</v>
      </c>
      <c r="L25" s="6">
        <f>K9</f>
        <v>73.801249999999996</v>
      </c>
      <c r="M25" s="4" t="s">
        <v>35</v>
      </c>
      <c r="N25" s="11">
        <f>L25+L$28</f>
        <v>74.320817358637029</v>
      </c>
      <c r="P25" s="30" t="str">
        <f t="shared" si="18"/>
        <v>B2P1</v>
      </c>
      <c r="Q25" s="37">
        <f t="shared" si="19"/>
        <v>73.977499999999992</v>
      </c>
      <c r="R25" s="48" t="s">
        <v>35</v>
      </c>
      <c r="S25" s="47">
        <f t="shared" si="20"/>
        <v>151.63249999999999</v>
      </c>
    </row>
    <row r="26" spans="2:19" ht="16.5" thickBot="1" x14ac:dyDescent="0.3">
      <c r="B26" s="20" t="s">
        <v>0</v>
      </c>
      <c r="C26" s="21">
        <f>(K14*K15*K13)-1</f>
        <v>23</v>
      </c>
      <c r="D26" s="22">
        <f>SUMSQ(C6:F11)-K11</f>
        <v>55.171962499938672</v>
      </c>
      <c r="E26" s="22">
        <f t="shared" si="16"/>
        <v>2.3987809782582032</v>
      </c>
      <c r="K26" s="16" t="s">
        <v>51</v>
      </c>
      <c r="L26" s="6">
        <f>L9</f>
        <v>75.025000000000006</v>
      </c>
      <c r="M26" s="4" t="s">
        <v>37</v>
      </c>
      <c r="N26" s="11">
        <f>L26+L$28</f>
        <v>75.544567358637039</v>
      </c>
      <c r="P26" s="30" t="str">
        <f t="shared" si="18"/>
        <v>B2P2</v>
      </c>
      <c r="Q26" s="37">
        <f t="shared" si="19"/>
        <v>75.742500000000007</v>
      </c>
      <c r="R26" s="48" t="s">
        <v>36</v>
      </c>
      <c r="S26" s="47">
        <f t="shared" si="20"/>
        <v>153.39750000000001</v>
      </c>
    </row>
    <row r="27" spans="2:19" ht="15.75" x14ac:dyDescent="0.25">
      <c r="K27" s="16" t="s">
        <v>52</v>
      </c>
      <c r="L27" s="6">
        <f>M9</f>
        <v>77.174999999999997</v>
      </c>
      <c r="M27" s="4" t="s">
        <v>36</v>
      </c>
      <c r="N27" s="11">
        <f>L27+L$28</f>
        <v>77.69456735863703</v>
      </c>
      <c r="P27" s="40" t="str">
        <f t="shared" si="18"/>
        <v>B2P3</v>
      </c>
      <c r="Q27" s="41">
        <f t="shared" si="19"/>
        <v>77.655000000000001</v>
      </c>
      <c r="R27" s="49" t="s">
        <v>36</v>
      </c>
      <c r="S27" s="47">
        <f t="shared" si="20"/>
        <v>155.31</v>
      </c>
    </row>
    <row r="28" spans="2:19" ht="15.75" x14ac:dyDescent="0.25">
      <c r="K28" s="28" t="s">
        <v>26</v>
      </c>
      <c r="L28" s="50">
        <f>L19</f>
        <v>0.51956735863703041</v>
      </c>
      <c r="M28" s="51"/>
      <c r="P28" s="42" t="s">
        <v>26</v>
      </c>
      <c r="Q28" s="73">
        <f>Q19</f>
        <v>0.80021614560391341</v>
      </c>
      <c r="R28" s="73"/>
      <c r="S28" s="47"/>
    </row>
    <row r="29" spans="2:19" ht="15.75" x14ac:dyDescent="0.25">
      <c r="N29" s="27"/>
    </row>
  </sheetData>
  <mergeCells count="23">
    <mergeCell ref="J2:O2"/>
    <mergeCell ref="B4:B5"/>
    <mergeCell ref="G3:G5"/>
    <mergeCell ref="J3:O3"/>
    <mergeCell ref="J4:J5"/>
    <mergeCell ref="K4:M4"/>
    <mergeCell ref="N4:N5"/>
    <mergeCell ref="O4:O5"/>
    <mergeCell ref="L28:M28"/>
    <mergeCell ref="L24:M24"/>
    <mergeCell ref="Q3:V3"/>
    <mergeCell ref="H3:H5"/>
    <mergeCell ref="B3:F3"/>
    <mergeCell ref="C4:F4"/>
    <mergeCell ref="B17:I17"/>
    <mergeCell ref="B18:B19"/>
    <mergeCell ref="C18:C19"/>
    <mergeCell ref="D18:D19"/>
    <mergeCell ref="E18:E19"/>
    <mergeCell ref="F18:F19"/>
    <mergeCell ref="G18:H18"/>
    <mergeCell ref="I18:I19"/>
    <mergeCell ref="Q28:R2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P44"/>
  <sheetViews>
    <sheetView topLeftCell="A15" zoomScale="130" zoomScaleNormal="130" workbookViewId="0">
      <selection activeCell="B6" sqref="B6:B11"/>
    </sheetView>
  </sheetViews>
  <sheetFormatPr defaultRowHeight="15" x14ac:dyDescent="0.25"/>
  <cols>
    <col min="2" max="2" width="14.42578125" bestFit="1" customWidth="1"/>
    <col min="3" max="3" width="10.42578125" bestFit="1" customWidth="1"/>
    <col min="4" max="4" width="11.85546875" customWidth="1"/>
    <col min="5" max="5" width="10.42578125" bestFit="1" customWidth="1"/>
    <col min="6" max="6" width="13" customWidth="1"/>
    <col min="7" max="7" width="10.7109375" customWidth="1"/>
    <col min="8" max="9" width="10.42578125" bestFit="1" customWidth="1"/>
    <col min="10" max="10" width="14.7109375" customWidth="1"/>
    <col min="11" max="13" width="12.7109375" customWidth="1"/>
    <col min="14" max="14" width="10.42578125" bestFit="1" customWidth="1"/>
    <col min="15" max="15" width="10.7109375" customWidth="1"/>
    <col min="17" max="22" width="8.7109375" customWidth="1"/>
  </cols>
  <sheetData>
    <row r="2" spans="2:16" ht="15.75" x14ac:dyDescent="0.25">
      <c r="J2" s="10"/>
      <c r="K2" s="10"/>
      <c r="L2" s="10"/>
      <c r="M2" s="10"/>
      <c r="N2" s="10"/>
      <c r="O2" s="10"/>
    </row>
    <row r="3" spans="2:16" ht="15.75" x14ac:dyDescent="0.25">
      <c r="B3" s="60" t="s">
        <v>3</v>
      </c>
      <c r="C3" s="61"/>
      <c r="D3" s="61"/>
      <c r="E3" s="61"/>
      <c r="F3" s="62"/>
      <c r="G3" s="57" t="s">
        <v>5</v>
      </c>
      <c r="H3" s="57" t="s">
        <v>1</v>
      </c>
      <c r="J3" s="75" t="s">
        <v>6</v>
      </c>
      <c r="K3" s="76"/>
      <c r="L3" s="76"/>
      <c r="M3" s="76"/>
      <c r="N3" s="76"/>
      <c r="O3" s="77"/>
      <c r="P3" s="10"/>
    </row>
    <row r="4" spans="2:16" ht="15.75" x14ac:dyDescent="0.25">
      <c r="B4" s="57" t="s">
        <v>2</v>
      </c>
      <c r="C4" s="63" t="s">
        <v>4</v>
      </c>
      <c r="D4" s="64"/>
      <c r="E4" s="64"/>
      <c r="F4" s="65"/>
      <c r="G4" s="58"/>
      <c r="H4" s="58"/>
      <c r="J4" s="78" t="s">
        <v>46</v>
      </c>
      <c r="K4" s="78" t="s">
        <v>47</v>
      </c>
      <c r="L4" s="78"/>
      <c r="M4" s="78"/>
      <c r="N4" s="78" t="s">
        <v>5</v>
      </c>
      <c r="O4" s="78" t="s">
        <v>7</v>
      </c>
      <c r="P4" s="10"/>
    </row>
    <row r="5" spans="2:16" ht="15.75" x14ac:dyDescent="0.25">
      <c r="B5" s="59"/>
      <c r="C5" s="1">
        <v>1</v>
      </c>
      <c r="D5" s="1">
        <v>2</v>
      </c>
      <c r="E5" s="1">
        <v>3</v>
      </c>
      <c r="F5" s="1">
        <v>4</v>
      </c>
      <c r="G5" s="59"/>
      <c r="H5" s="59"/>
      <c r="J5" s="78"/>
      <c r="K5" s="4" t="s">
        <v>50</v>
      </c>
      <c r="L5" s="4" t="s">
        <v>51</v>
      </c>
      <c r="M5" s="4" t="s">
        <v>52</v>
      </c>
      <c r="N5" s="78"/>
      <c r="O5" s="78"/>
      <c r="P5" s="10"/>
    </row>
    <row r="6" spans="2:16" ht="15.75" x14ac:dyDescent="0.25">
      <c r="B6" s="2" t="s">
        <v>40</v>
      </c>
      <c r="C6" s="12">
        <v>4.96</v>
      </c>
      <c r="D6" s="33">
        <v>4.9800000000000004</v>
      </c>
      <c r="E6" s="33">
        <v>4.95</v>
      </c>
      <c r="F6" s="34">
        <v>4.96</v>
      </c>
      <c r="G6" s="35">
        <f t="shared" ref="G6:G11" si="0">SUM(C6:F6)</f>
        <v>19.850000000000001</v>
      </c>
      <c r="H6" s="3">
        <f t="shared" ref="H6:H11" si="1">AVERAGE(C6:F6)</f>
        <v>4.9625000000000004</v>
      </c>
      <c r="J6" s="4" t="s">
        <v>48</v>
      </c>
      <c r="K6" s="5">
        <f>G6</f>
        <v>19.850000000000001</v>
      </c>
      <c r="L6" s="5">
        <f>G7</f>
        <v>22.970000000000002</v>
      </c>
      <c r="M6" s="5">
        <f>G8</f>
        <v>22.46</v>
      </c>
      <c r="N6" s="6">
        <f>SUM(K6:M6)</f>
        <v>65.28</v>
      </c>
      <c r="O6" s="6">
        <f>N6/(K13*K15)</f>
        <v>5.44</v>
      </c>
      <c r="P6" s="10"/>
    </row>
    <row r="7" spans="2:16" ht="15.75" x14ac:dyDescent="0.25">
      <c r="B7" s="2" t="s">
        <v>41</v>
      </c>
      <c r="C7" s="33">
        <v>5.84</v>
      </c>
      <c r="D7" s="33">
        <v>5.62</v>
      </c>
      <c r="E7" s="33">
        <v>5.71</v>
      </c>
      <c r="F7" s="33">
        <v>5.8</v>
      </c>
      <c r="G7" s="35">
        <f t="shared" si="0"/>
        <v>22.970000000000002</v>
      </c>
      <c r="H7" s="3">
        <f t="shared" si="1"/>
        <v>5.7425000000000006</v>
      </c>
      <c r="J7" s="4" t="s">
        <v>49</v>
      </c>
      <c r="K7" s="5">
        <f>G9</f>
        <v>20.329999999999998</v>
      </c>
      <c r="L7" s="5">
        <f>G10</f>
        <v>19.850000000000001</v>
      </c>
      <c r="M7" s="5">
        <f>G11</f>
        <v>20.12</v>
      </c>
      <c r="N7" s="6">
        <f>SUM(K7:M7)</f>
        <v>60.3</v>
      </c>
      <c r="O7" s="6">
        <f>N7/(K13*K15)</f>
        <v>5.0249999999999995</v>
      </c>
      <c r="P7" s="10"/>
    </row>
    <row r="8" spans="2:16" ht="15.75" x14ac:dyDescent="0.25">
      <c r="B8" s="2" t="s">
        <v>42</v>
      </c>
      <c r="C8" s="33">
        <v>5.82</v>
      </c>
      <c r="D8" s="33">
        <v>5.37</v>
      </c>
      <c r="E8" s="33">
        <v>5.44</v>
      </c>
      <c r="F8" s="33">
        <v>5.83</v>
      </c>
      <c r="G8" s="35">
        <f t="shared" si="0"/>
        <v>22.46</v>
      </c>
      <c r="H8" s="3">
        <f t="shared" si="1"/>
        <v>5.6150000000000002</v>
      </c>
      <c r="J8" s="4" t="s">
        <v>5</v>
      </c>
      <c r="K8" s="7">
        <f>SUM(K6:K7)</f>
        <v>40.18</v>
      </c>
      <c r="L8" s="7">
        <f t="shared" ref="L8:M8" si="2">SUM(L6:L7)</f>
        <v>42.820000000000007</v>
      </c>
      <c r="M8" s="7">
        <f t="shared" si="2"/>
        <v>42.58</v>
      </c>
      <c r="N8" s="8">
        <f>SUM(K8:M8)</f>
        <v>125.58</v>
      </c>
      <c r="O8" s="11"/>
      <c r="P8" s="10"/>
    </row>
    <row r="9" spans="2:16" ht="15.75" x14ac:dyDescent="0.25">
      <c r="B9" s="2" t="s">
        <v>43</v>
      </c>
      <c r="C9" s="33">
        <v>5.09</v>
      </c>
      <c r="D9" s="33">
        <v>5.2</v>
      </c>
      <c r="E9" s="33">
        <v>5.05</v>
      </c>
      <c r="F9" s="33">
        <v>4.99</v>
      </c>
      <c r="G9" s="35">
        <f t="shared" si="0"/>
        <v>20.329999999999998</v>
      </c>
      <c r="H9" s="3">
        <f t="shared" si="1"/>
        <v>5.0824999999999996</v>
      </c>
      <c r="J9" s="4" t="s">
        <v>7</v>
      </c>
      <c r="K9" s="7">
        <f>K8/(K13*K14)</f>
        <v>5.0225</v>
      </c>
      <c r="L9" s="7">
        <f>L8/(K13*K14)</f>
        <v>5.3525000000000009</v>
      </c>
      <c r="M9" s="7">
        <f>M8/(K13*K14)</f>
        <v>5.3224999999999998</v>
      </c>
      <c r="P9" s="10"/>
    </row>
    <row r="10" spans="2:16" ht="15.75" x14ac:dyDescent="0.25">
      <c r="B10" s="2" t="s">
        <v>44</v>
      </c>
      <c r="C10" s="33">
        <v>4.99</v>
      </c>
      <c r="D10" s="33">
        <v>4.9000000000000004</v>
      </c>
      <c r="E10" s="33">
        <v>4.82</v>
      </c>
      <c r="F10" s="33">
        <v>5.14</v>
      </c>
      <c r="G10" s="35">
        <f t="shared" si="0"/>
        <v>19.850000000000001</v>
      </c>
      <c r="H10" s="3">
        <f t="shared" si="1"/>
        <v>4.9625000000000004</v>
      </c>
    </row>
    <row r="11" spans="2:16" ht="15.75" x14ac:dyDescent="0.25">
      <c r="B11" s="2" t="s">
        <v>45</v>
      </c>
      <c r="C11" s="33">
        <v>5.08</v>
      </c>
      <c r="D11" s="33">
        <v>5.04</v>
      </c>
      <c r="E11" s="33">
        <v>5.0199999999999996</v>
      </c>
      <c r="F11" s="33">
        <v>4.9800000000000004</v>
      </c>
      <c r="G11" s="35">
        <f t="shared" si="0"/>
        <v>20.12</v>
      </c>
      <c r="H11" s="3">
        <f t="shared" si="1"/>
        <v>5.03</v>
      </c>
      <c r="J11" s="14" t="s">
        <v>8</v>
      </c>
      <c r="K11" s="15">
        <f>G12^2/(K14*K15*K13)</f>
        <v>657.09735000000012</v>
      </c>
      <c r="M11" s="17" t="s">
        <v>11</v>
      </c>
      <c r="N11" s="18">
        <f>(SQRT(E25)/H12)*100</f>
        <v>0.3789535036165172</v>
      </c>
    </row>
    <row r="12" spans="2:16" ht="15.75" x14ac:dyDescent="0.25">
      <c r="B12" s="2" t="s">
        <v>5</v>
      </c>
      <c r="C12" s="3">
        <f t="shared" ref="C12:H12" si="3">SUM(C6:C11)</f>
        <v>31.78</v>
      </c>
      <c r="D12" s="3">
        <f t="shared" si="3"/>
        <v>31.11</v>
      </c>
      <c r="E12" s="3">
        <f t="shared" si="3"/>
        <v>30.990000000000002</v>
      </c>
      <c r="F12" s="3">
        <f t="shared" si="3"/>
        <v>31.7</v>
      </c>
      <c r="G12" s="13">
        <f t="shared" si="3"/>
        <v>125.58000000000001</v>
      </c>
      <c r="H12" s="3">
        <f t="shared" si="3"/>
        <v>31.395000000000003</v>
      </c>
      <c r="J12" s="16" t="s">
        <v>9</v>
      </c>
      <c r="K12" s="16">
        <v>6</v>
      </c>
    </row>
    <row r="13" spans="2:16" ht="15.75" x14ac:dyDescent="0.25">
      <c r="J13" s="16" t="s">
        <v>10</v>
      </c>
      <c r="K13" s="16">
        <v>4</v>
      </c>
    </row>
    <row r="14" spans="2:16" ht="15.75" x14ac:dyDescent="0.25">
      <c r="J14" s="16" t="s">
        <v>53</v>
      </c>
      <c r="K14" s="16">
        <v>2</v>
      </c>
    </row>
    <row r="15" spans="2:16" ht="15.75" x14ac:dyDescent="0.25">
      <c r="J15" s="16" t="s">
        <v>54</v>
      </c>
      <c r="K15" s="16">
        <v>3</v>
      </c>
    </row>
    <row r="17" spans="2:16" ht="16.5" thickBot="1" x14ac:dyDescent="0.3">
      <c r="B17" s="66" t="s">
        <v>31</v>
      </c>
      <c r="C17" s="66"/>
      <c r="D17" s="66"/>
      <c r="E17" s="66"/>
      <c r="F17" s="66"/>
      <c r="G17" s="66"/>
      <c r="H17" s="66"/>
      <c r="I17" s="66"/>
      <c r="K17" s="26" t="s">
        <v>23</v>
      </c>
      <c r="L17" s="26" t="s">
        <v>24</v>
      </c>
      <c r="M17" s="26" t="s">
        <v>25</v>
      </c>
      <c r="N17" s="27"/>
    </row>
    <row r="18" spans="2:16" ht="16.5" thickBot="1" x14ac:dyDescent="0.3">
      <c r="B18" s="67" t="s">
        <v>13</v>
      </c>
      <c r="C18" s="67" t="s">
        <v>14</v>
      </c>
      <c r="D18" s="67" t="s">
        <v>15</v>
      </c>
      <c r="E18" s="67" t="s">
        <v>16</v>
      </c>
      <c r="F18" s="67" t="s">
        <v>17</v>
      </c>
      <c r="G18" s="69" t="s">
        <v>18</v>
      </c>
      <c r="H18" s="70"/>
      <c r="I18" s="71" t="s">
        <v>19</v>
      </c>
      <c r="K18" s="30">
        <f>SQRT(E25/K12)</f>
        <v>4.8570300329253795E-2</v>
      </c>
      <c r="L18" s="30">
        <f>4.08</f>
        <v>4.08</v>
      </c>
      <c r="M18" s="30">
        <f>K18*L18</f>
        <v>0.19816682534335547</v>
      </c>
      <c r="N18" s="27"/>
    </row>
    <row r="19" spans="2:16" ht="16.5" thickBot="1" x14ac:dyDescent="0.3">
      <c r="B19" s="68"/>
      <c r="C19" s="68"/>
      <c r="D19" s="68"/>
      <c r="E19" s="68"/>
      <c r="F19" s="68"/>
      <c r="G19" s="19">
        <v>0.05</v>
      </c>
      <c r="H19" s="19">
        <v>0.01</v>
      </c>
      <c r="I19" s="72"/>
      <c r="K19" s="17" t="s">
        <v>26</v>
      </c>
      <c r="L19" s="18">
        <f>3.65*K18</f>
        <v>0.17728159620177636</v>
      </c>
      <c r="M19" s="27"/>
      <c r="N19" s="27"/>
    </row>
    <row r="20" spans="2:16" ht="16.5" thickBot="1" x14ac:dyDescent="0.3">
      <c r="B20" s="20" t="s">
        <v>20</v>
      </c>
      <c r="C20" s="21">
        <f>K13-1</f>
        <v>3</v>
      </c>
      <c r="D20" s="22">
        <f>(SUMSQ(C12:F12)/(K12))-K11</f>
        <v>8.1083333333253904E-2</v>
      </c>
      <c r="E20" s="22">
        <f>D20/C20</f>
        <v>2.70277777777513E-2</v>
      </c>
      <c r="F20" s="23">
        <f>E20/E25</f>
        <v>1.9094905408570408</v>
      </c>
      <c r="G20" s="22">
        <f>FINV(G19,C20,C25)</f>
        <v>3.2873821046365093</v>
      </c>
      <c r="H20" s="22">
        <f>FINV(H19,C20,C25)</f>
        <v>5.4169648578184191</v>
      </c>
      <c r="I20" s="24" t="str">
        <f>IF(F20&lt;G20,"tn",IF(F20&lt;H20,"*","**"))</f>
        <v>tn</v>
      </c>
      <c r="J20" s="9"/>
      <c r="K20" s="27"/>
      <c r="L20" s="27"/>
      <c r="M20" s="27"/>
      <c r="N20" s="27"/>
    </row>
    <row r="21" spans="2:16" ht="16.5" thickBot="1" x14ac:dyDescent="0.3">
      <c r="B21" s="20" t="s">
        <v>21</v>
      </c>
      <c r="C21" s="21">
        <f>(K14*K15)-1</f>
        <v>5</v>
      </c>
      <c r="D21" s="22">
        <f>(SUMSQ(G6:G11)/4)-K11</f>
        <v>2.4628500000000031</v>
      </c>
      <c r="E21" s="22">
        <f t="shared" ref="E21:E26" si="4">D21/C21</f>
        <v>0.49257000000000062</v>
      </c>
      <c r="F21" s="23">
        <f>E21/E25</f>
        <v>34.799670303793945</v>
      </c>
      <c r="G21" s="22">
        <f>FINV(G19,C21,C25)</f>
        <v>2.9012945362361564</v>
      </c>
      <c r="H21" s="22">
        <f>FINV(H19,C21,C25)</f>
        <v>4.5556139846530046</v>
      </c>
      <c r="I21" s="25" t="str">
        <f t="shared" ref="I21:I24" si="5">IF(F21&lt;G21,"tn",IF(F21&lt;H21,"*","**"))</f>
        <v>**</v>
      </c>
      <c r="J21" s="9"/>
      <c r="K21" s="29" t="s">
        <v>21</v>
      </c>
      <c r="L21" s="29" t="s">
        <v>27</v>
      </c>
      <c r="M21" s="29" t="s">
        <v>28</v>
      </c>
      <c r="N21" s="27"/>
    </row>
    <row r="22" spans="2:16" ht="16.5" thickBot="1" x14ac:dyDescent="0.3">
      <c r="B22" s="20" t="s">
        <v>53</v>
      </c>
      <c r="C22" s="21">
        <f>K14-1</f>
        <v>1</v>
      </c>
      <c r="D22" s="22">
        <f>(SUMSQ(N6:N7))/(3*4)-K11</f>
        <v>1.0333499999999276</v>
      </c>
      <c r="E22" s="22">
        <f t="shared" si="4"/>
        <v>1.0333499999999276</v>
      </c>
      <c r="F22" s="23">
        <f>E22/E25</f>
        <v>73.005337938613621</v>
      </c>
      <c r="G22" s="22">
        <f>FINV(G19,C22,C25)</f>
        <v>4.5430771652669701</v>
      </c>
      <c r="H22" s="22">
        <f>FINV(H19,C22,C25)</f>
        <v>8.6831168176389504</v>
      </c>
      <c r="I22" s="25" t="str">
        <f t="shared" si="5"/>
        <v>**</v>
      </c>
      <c r="J22" s="9"/>
      <c r="K22" s="16" t="s">
        <v>48</v>
      </c>
      <c r="L22" s="6">
        <f>O6</f>
        <v>5.44</v>
      </c>
      <c r="M22" s="4" t="s">
        <v>37</v>
      </c>
      <c r="N22" s="11">
        <f>L22+L$24</f>
        <v>5.617281596201777</v>
      </c>
    </row>
    <row r="23" spans="2:16" ht="16.5" thickBot="1" x14ac:dyDescent="0.3">
      <c r="B23" s="20" t="s">
        <v>54</v>
      </c>
      <c r="C23" s="21">
        <f>K15-1</f>
        <v>2</v>
      </c>
      <c r="D23" s="22">
        <f>(SUMSQ(K8:M8))/(2*4)-K11</f>
        <v>0.53279999999995198</v>
      </c>
      <c r="E23" s="22">
        <f t="shared" si="4"/>
        <v>0.26639999999997599</v>
      </c>
      <c r="F23" s="23">
        <f>E23/E25</f>
        <v>18.82094355914867</v>
      </c>
      <c r="G23" s="22">
        <f>FINV(G19,C23,C25)</f>
        <v>3.6823203436732408</v>
      </c>
      <c r="H23" s="22">
        <f>FINV(H19,C23,C25)</f>
        <v>6.3588734806671825</v>
      </c>
      <c r="I23" s="25" t="str">
        <f>IF(F23&lt;G23,"tn",IF(F23&lt;H23,"*","**"))</f>
        <v>**</v>
      </c>
      <c r="K23" s="16" t="s">
        <v>49</v>
      </c>
      <c r="L23" s="6">
        <f>O7</f>
        <v>5.0249999999999995</v>
      </c>
      <c r="M23" s="4" t="s">
        <v>35</v>
      </c>
      <c r="N23" s="11">
        <f>L23+L$24</f>
        <v>5.2022815962017761</v>
      </c>
      <c r="P23" t="s">
        <v>30</v>
      </c>
    </row>
    <row r="24" spans="2:16" ht="16.5" thickBot="1" x14ac:dyDescent="0.3">
      <c r="B24" s="20" t="s">
        <v>55</v>
      </c>
      <c r="C24" s="21">
        <f>C22*C23</f>
        <v>2</v>
      </c>
      <c r="D24" s="22">
        <f>D21-D22-D23</f>
        <v>0.89670000000012351</v>
      </c>
      <c r="E24" s="22">
        <f t="shared" si="4"/>
        <v>0.44835000000006175</v>
      </c>
      <c r="F24" s="23">
        <f>E24/E25</f>
        <v>31.675563231029386</v>
      </c>
      <c r="G24" s="22">
        <f>FINV(G19,C24,C25)</f>
        <v>3.6823203436732408</v>
      </c>
      <c r="H24" s="22">
        <f>FINV(H19,C24,C25)</f>
        <v>6.3588734806671825</v>
      </c>
      <c r="I24" s="25" t="str">
        <f t="shared" si="5"/>
        <v>**</v>
      </c>
      <c r="K24" s="28" t="s">
        <v>26</v>
      </c>
      <c r="L24" s="52">
        <f>L19</f>
        <v>0.17728159620177636</v>
      </c>
      <c r="M24" s="53"/>
      <c r="N24" s="11"/>
    </row>
    <row r="25" spans="2:16" ht="16.5" thickBot="1" x14ac:dyDescent="0.3">
      <c r="B25" s="20" t="s">
        <v>22</v>
      </c>
      <c r="C25" s="21">
        <f>C26-C20-C21</f>
        <v>15</v>
      </c>
      <c r="D25" s="22">
        <f>D26-D20-D21</f>
        <v>0.21231666666665205</v>
      </c>
      <c r="E25" s="22">
        <f t="shared" si="4"/>
        <v>1.415444444444347E-2</v>
      </c>
      <c r="K25" s="16" t="s">
        <v>50</v>
      </c>
      <c r="L25" s="6">
        <f>K9</f>
        <v>5.0225</v>
      </c>
      <c r="M25" s="4" t="s">
        <v>35</v>
      </c>
      <c r="N25" s="11">
        <f>L25+L$28</f>
        <v>5.1997815962017766</v>
      </c>
    </row>
    <row r="26" spans="2:16" ht="16.5" thickBot="1" x14ac:dyDescent="0.3">
      <c r="B26" s="20" t="s">
        <v>0</v>
      </c>
      <c r="C26" s="21">
        <f>(K14*K15*K13)-1</f>
        <v>23</v>
      </c>
      <c r="D26" s="22">
        <f>SUMSQ(C6:F11)-K11</f>
        <v>2.7562499999999091</v>
      </c>
      <c r="E26" s="22">
        <f t="shared" si="4"/>
        <v>0.11983695652173518</v>
      </c>
      <c r="K26" s="16" t="s">
        <v>51</v>
      </c>
      <c r="L26" s="6">
        <f>L9</f>
        <v>5.3525000000000009</v>
      </c>
      <c r="M26" s="4" t="s">
        <v>36</v>
      </c>
      <c r="N26" s="11">
        <f>L26+L$28</f>
        <v>5.5297815962017776</v>
      </c>
    </row>
    <row r="27" spans="2:16" ht="15.75" x14ac:dyDescent="0.25">
      <c r="K27" s="16" t="s">
        <v>52</v>
      </c>
      <c r="L27" s="6">
        <f>M9</f>
        <v>5.3224999999999998</v>
      </c>
      <c r="M27" s="4" t="s">
        <v>37</v>
      </c>
      <c r="N27" s="11">
        <f>L27+L$28</f>
        <v>5.4997815962017764</v>
      </c>
    </row>
    <row r="28" spans="2:16" ht="15.75" x14ac:dyDescent="0.25">
      <c r="K28" s="28" t="s">
        <v>26</v>
      </c>
      <c r="L28" s="50">
        <f>L19</f>
        <v>0.17728159620177636</v>
      </c>
      <c r="M28" s="51"/>
    </row>
    <row r="29" spans="2:16" ht="15.75" x14ac:dyDescent="0.25">
      <c r="N29" s="27"/>
    </row>
    <row r="30" spans="2:16" ht="15.75" x14ac:dyDescent="0.25">
      <c r="K30" s="43" t="s">
        <v>33</v>
      </c>
      <c r="L30" s="43" t="s">
        <v>26</v>
      </c>
      <c r="M30" s="43" t="s">
        <v>25</v>
      </c>
    </row>
    <row r="31" spans="2:16" ht="15.75" x14ac:dyDescent="0.25">
      <c r="K31" s="11">
        <f>SQRT(E25/4)</f>
        <v>5.9486226230202797E-2</v>
      </c>
      <c r="L31" s="27">
        <f>4.59</f>
        <v>4.59</v>
      </c>
      <c r="M31" s="11">
        <f>K31*L31</f>
        <v>0.27304177839663085</v>
      </c>
    </row>
    <row r="32" spans="2:16" ht="15.75" x14ac:dyDescent="0.25">
      <c r="K32" s="44" t="s">
        <v>26</v>
      </c>
      <c r="L32" s="45">
        <f>M31</f>
        <v>0.27304177839663085</v>
      </c>
      <c r="M32" s="46"/>
    </row>
    <row r="34" spans="11:14" ht="15.75" x14ac:dyDescent="0.25">
      <c r="K34" s="36" t="s">
        <v>21</v>
      </c>
      <c r="L34" s="36" t="s">
        <v>27</v>
      </c>
      <c r="M34" s="36" t="s">
        <v>32</v>
      </c>
      <c r="N34" s="47"/>
    </row>
    <row r="35" spans="11:14" ht="15.75" x14ac:dyDescent="0.25">
      <c r="K35" s="30" t="str">
        <f>B6</f>
        <v>B1P1</v>
      </c>
      <c r="L35" s="37">
        <f>H6</f>
        <v>4.9625000000000004</v>
      </c>
      <c r="M35" s="48" t="s">
        <v>35</v>
      </c>
      <c r="N35" s="47">
        <f>L35+L$41</f>
        <v>5.2355417783966312</v>
      </c>
    </row>
    <row r="36" spans="11:14" ht="15.75" x14ac:dyDescent="0.25">
      <c r="K36" s="30" t="str">
        <f t="shared" ref="K36:K40" si="6">B7</f>
        <v>B1P2</v>
      </c>
      <c r="L36" s="37">
        <f t="shared" ref="L36:L40" si="7">H7</f>
        <v>5.7425000000000006</v>
      </c>
      <c r="M36" s="48" t="s">
        <v>38</v>
      </c>
      <c r="N36" s="47">
        <f t="shared" ref="N36:N40" si="8">L36+L$41</f>
        <v>6.0155417783966314</v>
      </c>
    </row>
    <row r="37" spans="11:14" ht="15.75" x14ac:dyDescent="0.25">
      <c r="K37" s="30" t="str">
        <f t="shared" si="6"/>
        <v>B1P3</v>
      </c>
      <c r="L37" s="37">
        <f t="shared" si="7"/>
        <v>5.6150000000000002</v>
      </c>
      <c r="M37" s="48" t="s">
        <v>39</v>
      </c>
      <c r="N37" s="47">
        <f t="shared" si="8"/>
        <v>5.888041778396631</v>
      </c>
    </row>
    <row r="38" spans="11:14" ht="15.75" x14ac:dyDescent="0.25">
      <c r="K38" s="30" t="str">
        <f t="shared" si="6"/>
        <v>B2P1</v>
      </c>
      <c r="L38" s="37">
        <f t="shared" si="7"/>
        <v>5.0824999999999996</v>
      </c>
      <c r="M38" s="48" t="s">
        <v>36</v>
      </c>
      <c r="N38" s="47">
        <f t="shared" si="8"/>
        <v>5.3555417783966304</v>
      </c>
    </row>
    <row r="39" spans="11:14" ht="15.75" x14ac:dyDescent="0.25">
      <c r="K39" s="30" t="str">
        <f t="shared" si="6"/>
        <v>B2P2</v>
      </c>
      <c r="L39" s="37">
        <f t="shared" si="7"/>
        <v>4.9625000000000004</v>
      </c>
      <c r="M39" s="48" t="s">
        <v>35</v>
      </c>
      <c r="N39" s="47">
        <f t="shared" si="8"/>
        <v>5.2355417783966312</v>
      </c>
    </row>
    <row r="40" spans="11:14" ht="15.75" x14ac:dyDescent="0.25">
      <c r="K40" s="40" t="str">
        <f t="shared" si="6"/>
        <v>B2P3</v>
      </c>
      <c r="L40" s="41">
        <f t="shared" si="7"/>
        <v>5.03</v>
      </c>
      <c r="M40" s="49" t="s">
        <v>37</v>
      </c>
      <c r="N40" s="47">
        <f t="shared" si="8"/>
        <v>5.303041778396631</v>
      </c>
    </row>
    <row r="41" spans="11:14" ht="15.75" x14ac:dyDescent="0.25">
      <c r="K41" s="42" t="s">
        <v>26</v>
      </c>
      <c r="L41" s="73">
        <f>L32</f>
        <v>0.27304177839663085</v>
      </c>
      <c r="M41" s="73"/>
      <c r="N41" s="47"/>
    </row>
    <row r="42" spans="11:14" ht="15.75" x14ac:dyDescent="0.25">
      <c r="K42" s="38"/>
      <c r="L42" s="39"/>
      <c r="M42" s="39"/>
      <c r="N42" s="47"/>
    </row>
    <row r="43" spans="11:14" ht="15.75" x14ac:dyDescent="0.25">
      <c r="K43" s="38"/>
      <c r="L43" s="39"/>
      <c r="M43" s="39"/>
      <c r="N43" s="47"/>
    </row>
    <row r="44" spans="11:14" ht="15.75" x14ac:dyDescent="0.25">
      <c r="N44" s="27"/>
    </row>
  </sheetData>
  <mergeCells count="21">
    <mergeCell ref="L41:M41"/>
    <mergeCell ref="B4:B5"/>
    <mergeCell ref="C4:F4"/>
    <mergeCell ref="J4:J5"/>
    <mergeCell ref="K4:M4"/>
    <mergeCell ref="L28:M28"/>
    <mergeCell ref="B3:F3"/>
    <mergeCell ref="G3:G5"/>
    <mergeCell ref="H3:H5"/>
    <mergeCell ref="J3:O3"/>
    <mergeCell ref="L24:M24"/>
    <mergeCell ref="N4:N5"/>
    <mergeCell ref="O4:O5"/>
    <mergeCell ref="B17:I17"/>
    <mergeCell ref="B18:B19"/>
    <mergeCell ref="C18:C19"/>
    <mergeCell ref="D18:D19"/>
    <mergeCell ref="E18:E19"/>
    <mergeCell ref="F18:F19"/>
    <mergeCell ref="G18:H18"/>
    <mergeCell ref="I18:I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P44"/>
  <sheetViews>
    <sheetView topLeftCell="A12" zoomScale="130" zoomScaleNormal="130" workbookViewId="0">
      <selection activeCell="K27" sqref="K27"/>
    </sheetView>
  </sheetViews>
  <sheetFormatPr defaultRowHeight="15" x14ac:dyDescent="0.25"/>
  <cols>
    <col min="2" max="2" width="14.42578125" bestFit="1" customWidth="1"/>
    <col min="3" max="3" width="10.42578125" bestFit="1" customWidth="1"/>
    <col min="4" max="4" width="11.85546875" customWidth="1"/>
    <col min="5" max="5" width="10.42578125" bestFit="1" customWidth="1"/>
    <col min="6" max="6" width="13" customWidth="1"/>
    <col min="7" max="7" width="10.7109375" customWidth="1"/>
    <col min="8" max="9" width="10.42578125" bestFit="1" customWidth="1"/>
    <col min="10" max="10" width="14.7109375" customWidth="1"/>
    <col min="11" max="13" width="12.7109375" customWidth="1"/>
    <col min="14" max="14" width="10.42578125" bestFit="1" customWidth="1"/>
    <col min="15" max="15" width="10.7109375" customWidth="1"/>
    <col min="17" max="22" width="8.7109375" customWidth="1"/>
  </cols>
  <sheetData>
    <row r="2" spans="2:16" ht="15.75" x14ac:dyDescent="0.25">
      <c r="J2" s="10"/>
      <c r="K2" s="10"/>
      <c r="L2" s="10"/>
      <c r="M2" s="10"/>
      <c r="N2" s="10"/>
      <c r="O2" s="10"/>
    </row>
    <row r="3" spans="2:16" ht="15.75" x14ac:dyDescent="0.25">
      <c r="B3" s="60" t="s">
        <v>3</v>
      </c>
      <c r="C3" s="61"/>
      <c r="D3" s="61"/>
      <c r="E3" s="61"/>
      <c r="F3" s="62"/>
      <c r="G3" s="57" t="s">
        <v>5</v>
      </c>
      <c r="H3" s="57" t="s">
        <v>1</v>
      </c>
      <c r="J3" s="75" t="s">
        <v>6</v>
      </c>
      <c r="K3" s="76"/>
      <c r="L3" s="76"/>
      <c r="M3" s="76"/>
      <c r="N3" s="76"/>
      <c r="O3" s="77"/>
      <c r="P3" s="10"/>
    </row>
    <row r="4" spans="2:16" ht="15.75" x14ac:dyDescent="0.25">
      <c r="B4" s="57" t="s">
        <v>2</v>
      </c>
      <c r="C4" s="63" t="s">
        <v>4</v>
      </c>
      <c r="D4" s="64"/>
      <c r="E4" s="64"/>
      <c r="F4" s="65"/>
      <c r="G4" s="58"/>
      <c r="H4" s="58"/>
      <c r="J4" s="78" t="s">
        <v>46</v>
      </c>
      <c r="K4" s="78" t="s">
        <v>47</v>
      </c>
      <c r="L4" s="78"/>
      <c r="M4" s="78"/>
      <c r="N4" s="78" t="s">
        <v>5</v>
      </c>
      <c r="O4" s="78" t="s">
        <v>7</v>
      </c>
      <c r="P4" s="10"/>
    </row>
    <row r="5" spans="2:16" ht="15.75" x14ac:dyDescent="0.25">
      <c r="B5" s="59"/>
      <c r="C5" s="1">
        <v>1</v>
      </c>
      <c r="D5" s="1">
        <v>2</v>
      </c>
      <c r="E5" s="1">
        <v>3</v>
      </c>
      <c r="F5" s="1">
        <v>4</v>
      </c>
      <c r="G5" s="59"/>
      <c r="H5" s="59"/>
      <c r="J5" s="78"/>
      <c r="K5" s="4" t="s">
        <v>50</v>
      </c>
      <c r="L5" s="4" t="s">
        <v>51</v>
      </c>
      <c r="M5" s="4" t="s">
        <v>52</v>
      </c>
      <c r="N5" s="78"/>
      <c r="O5" s="78"/>
      <c r="P5" s="10"/>
    </row>
    <row r="6" spans="2:16" ht="15.75" x14ac:dyDescent="0.25">
      <c r="B6" s="2" t="s">
        <v>40</v>
      </c>
      <c r="C6" s="12">
        <v>11.84</v>
      </c>
      <c r="D6" s="33">
        <v>12.01</v>
      </c>
      <c r="E6" s="33">
        <v>11.99</v>
      </c>
      <c r="F6" s="34">
        <v>11.99</v>
      </c>
      <c r="G6" s="35">
        <f t="shared" ref="G6:G11" si="0">SUM(C6:F6)</f>
        <v>47.830000000000005</v>
      </c>
      <c r="H6" s="3">
        <f t="shared" ref="H6:H11" si="1">AVERAGE(C6:F6)</f>
        <v>11.957500000000001</v>
      </c>
      <c r="J6" s="4" t="s">
        <v>48</v>
      </c>
      <c r="K6" s="5">
        <f>G6</f>
        <v>47.830000000000005</v>
      </c>
      <c r="L6" s="5">
        <f>G7</f>
        <v>57.2</v>
      </c>
      <c r="M6" s="5">
        <f>G8</f>
        <v>60</v>
      </c>
      <c r="N6" s="6">
        <f>SUM(K6:M6)</f>
        <v>165.03</v>
      </c>
      <c r="O6" s="6">
        <f>N6/(K13*K15)</f>
        <v>13.7525</v>
      </c>
      <c r="P6" s="10"/>
    </row>
    <row r="7" spans="2:16" ht="15.75" x14ac:dyDescent="0.25">
      <c r="B7" s="2" t="s">
        <v>41</v>
      </c>
      <c r="C7" s="33">
        <v>14.59</v>
      </c>
      <c r="D7" s="33">
        <v>13.91</v>
      </c>
      <c r="E7" s="33">
        <v>14.36</v>
      </c>
      <c r="F7" s="33">
        <v>14.34</v>
      </c>
      <c r="G7" s="35">
        <f t="shared" si="0"/>
        <v>57.2</v>
      </c>
      <c r="H7" s="3">
        <f t="shared" si="1"/>
        <v>14.3</v>
      </c>
      <c r="J7" s="4" t="s">
        <v>49</v>
      </c>
      <c r="K7" s="5">
        <f>G9</f>
        <v>49.260000000000005</v>
      </c>
      <c r="L7" s="5">
        <f>G10</f>
        <v>52.95</v>
      </c>
      <c r="M7" s="5">
        <f>G11</f>
        <v>56.75</v>
      </c>
      <c r="N7" s="6">
        <f>SUM(K7:M7)</f>
        <v>158.96</v>
      </c>
      <c r="O7" s="6">
        <f>N7/(K13*K15)</f>
        <v>13.246666666666668</v>
      </c>
      <c r="P7" s="10"/>
    </row>
    <row r="8" spans="2:16" ht="15.75" x14ac:dyDescent="0.25">
      <c r="B8" s="2" t="s">
        <v>42</v>
      </c>
      <c r="C8" s="33">
        <v>15.24</v>
      </c>
      <c r="D8" s="33">
        <v>14.72</v>
      </c>
      <c r="E8" s="33">
        <v>14.82</v>
      </c>
      <c r="F8" s="33">
        <v>15.22</v>
      </c>
      <c r="G8" s="35">
        <f t="shared" si="0"/>
        <v>60</v>
      </c>
      <c r="H8" s="3">
        <f t="shared" si="1"/>
        <v>15</v>
      </c>
      <c r="J8" s="4" t="s">
        <v>5</v>
      </c>
      <c r="K8" s="7">
        <f>SUM(K6:K7)</f>
        <v>97.09</v>
      </c>
      <c r="L8" s="7">
        <f t="shared" ref="L8:M8" si="2">SUM(L6:L7)</f>
        <v>110.15</v>
      </c>
      <c r="M8" s="7">
        <f t="shared" si="2"/>
        <v>116.75</v>
      </c>
      <c r="N8" s="8">
        <f>SUM(K8:M8)</f>
        <v>323.99</v>
      </c>
      <c r="O8" s="11"/>
      <c r="P8" s="10"/>
    </row>
    <row r="9" spans="2:16" ht="15.75" x14ac:dyDescent="0.25">
      <c r="B9" s="2" t="s">
        <v>43</v>
      </c>
      <c r="C9" s="33">
        <v>12</v>
      </c>
      <c r="D9" s="33">
        <v>12.49</v>
      </c>
      <c r="E9" s="33">
        <v>12.43</v>
      </c>
      <c r="F9" s="33">
        <v>12.34</v>
      </c>
      <c r="G9" s="35">
        <f t="shared" si="0"/>
        <v>49.260000000000005</v>
      </c>
      <c r="H9" s="3">
        <f t="shared" si="1"/>
        <v>12.315000000000001</v>
      </c>
      <c r="J9" s="4" t="s">
        <v>7</v>
      </c>
      <c r="K9" s="7">
        <f>K8/(K13*K14)</f>
        <v>12.13625</v>
      </c>
      <c r="L9" s="7">
        <f>L8/(K13*K14)</f>
        <v>13.768750000000001</v>
      </c>
      <c r="M9" s="7">
        <f>M8/(K13*K14)</f>
        <v>14.59375</v>
      </c>
      <c r="P9" s="10"/>
    </row>
    <row r="10" spans="2:16" ht="15.75" x14ac:dyDescent="0.25">
      <c r="B10" s="2" t="s">
        <v>44</v>
      </c>
      <c r="C10" s="33">
        <v>13.29</v>
      </c>
      <c r="D10" s="33">
        <v>13.16</v>
      </c>
      <c r="E10" s="33">
        <v>13.23</v>
      </c>
      <c r="F10" s="33">
        <v>13.27</v>
      </c>
      <c r="G10" s="35">
        <f t="shared" si="0"/>
        <v>52.95</v>
      </c>
      <c r="H10" s="3">
        <f t="shared" si="1"/>
        <v>13.237500000000001</v>
      </c>
    </row>
    <row r="11" spans="2:16" ht="15.75" x14ac:dyDescent="0.25">
      <c r="B11" s="2" t="s">
        <v>45</v>
      </c>
      <c r="C11" s="33">
        <v>14.24</v>
      </c>
      <c r="D11" s="33">
        <v>14.19</v>
      </c>
      <c r="E11" s="33">
        <v>14.16</v>
      </c>
      <c r="F11" s="33">
        <v>14.16</v>
      </c>
      <c r="G11" s="35">
        <f t="shared" si="0"/>
        <v>56.75</v>
      </c>
      <c r="H11" s="3">
        <f t="shared" si="1"/>
        <v>14.1875</v>
      </c>
      <c r="J11" s="14" t="s">
        <v>8</v>
      </c>
      <c r="K11" s="15">
        <f>G12^2/(K14*K15*K13)</f>
        <v>4373.7300041666667</v>
      </c>
      <c r="M11" s="17" t="s">
        <v>11</v>
      </c>
      <c r="N11" s="18">
        <f>(SQRT(E25)/H12)*100</f>
        <v>0.23980453913145602</v>
      </c>
    </row>
    <row r="12" spans="2:16" ht="15.75" x14ac:dyDescent="0.25">
      <c r="B12" s="2" t="s">
        <v>5</v>
      </c>
      <c r="C12" s="3">
        <f t="shared" ref="C12:H12" si="3">SUM(C6:C11)</f>
        <v>81.2</v>
      </c>
      <c r="D12" s="3">
        <f t="shared" si="3"/>
        <v>80.48</v>
      </c>
      <c r="E12" s="3">
        <f t="shared" si="3"/>
        <v>80.989999999999995</v>
      </c>
      <c r="F12" s="3">
        <f t="shared" si="3"/>
        <v>81.319999999999993</v>
      </c>
      <c r="G12" s="13">
        <f t="shared" si="3"/>
        <v>323.99</v>
      </c>
      <c r="H12" s="3">
        <f t="shared" si="3"/>
        <v>80.997500000000002</v>
      </c>
      <c r="J12" s="16" t="s">
        <v>9</v>
      </c>
      <c r="K12" s="16">
        <v>6</v>
      </c>
    </row>
    <row r="13" spans="2:16" ht="15.75" x14ac:dyDescent="0.25">
      <c r="J13" s="16" t="s">
        <v>10</v>
      </c>
      <c r="K13" s="16">
        <v>4</v>
      </c>
    </row>
    <row r="14" spans="2:16" ht="15.75" x14ac:dyDescent="0.25">
      <c r="J14" s="16" t="s">
        <v>53</v>
      </c>
      <c r="K14" s="16">
        <v>2</v>
      </c>
    </row>
    <row r="15" spans="2:16" ht="15.75" x14ac:dyDescent="0.25">
      <c r="J15" s="16" t="s">
        <v>54</v>
      </c>
      <c r="K15" s="16">
        <v>3</v>
      </c>
    </row>
    <row r="17" spans="2:16" ht="16.5" thickBot="1" x14ac:dyDescent="0.3">
      <c r="B17" s="66" t="s">
        <v>34</v>
      </c>
      <c r="C17" s="66"/>
      <c r="D17" s="66"/>
      <c r="E17" s="66"/>
      <c r="F17" s="66"/>
      <c r="G17" s="66"/>
      <c r="H17" s="66"/>
      <c r="I17" s="66"/>
      <c r="K17" s="26" t="s">
        <v>23</v>
      </c>
      <c r="L17" s="26" t="s">
        <v>24</v>
      </c>
      <c r="M17" s="26" t="s">
        <v>25</v>
      </c>
      <c r="N17" s="27"/>
    </row>
    <row r="18" spans="2:16" ht="16.5" thickBot="1" x14ac:dyDescent="0.3">
      <c r="B18" s="67" t="s">
        <v>13</v>
      </c>
      <c r="C18" s="67" t="s">
        <v>14</v>
      </c>
      <c r="D18" s="67" t="s">
        <v>15</v>
      </c>
      <c r="E18" s="67" t="s">
        <v>16</v>
      </c>
      <c r="F18" s="67" t="s">
        <v>17</v>
      </c>
      <c r="G18" s="69" t="s">
        <v>18</v>
      </c>
      <c r="H18" s="70"/>
      <c r="I18" s="71" t="s">
        <v>19</v>
      </c>
      <c r="K18" s="30">
        <f>SQRT(E25/K12)</f>
        <v>7.9296384953343443E-2</v>
      </c>
      <c r="L18" s="30">
        <f>4.08</f>
        <v>4.08</v>
      </c>
      <c r="M18" s="30">
        <f>K18*L18</f>
        <v>0.32352925060964127</v>
      </c>
      <c r="N18" s="27"/>
    </row>
    <row r="19" spans="2:16" ht="16.5" thickBot="1" x14ac:dyDescent="0.3">
      <c r="B19" s="68"/>
      <c r="C19" s="68"/>
      <c r="D19" s="68"/>
      <c r="E19" s="68"/>
      <c r="F19" s="68"/>
      <c r="G19" s="19">
        <v>0.05</v>
      </c>
      <c r="H19" s="19">
        <v>0.01</v>
      </c>
      <c r="I19" s="72"/>
      <c r="K19" s="17" t="s">
        <v>26</v>
      </c>
      <c r="L19" s="18">
        <f>3.65*K18</f>
        <v>0.28943180507970356</v>
      </c>
      <c r="M19" s="27"/>
      <c r="N19" s="27"/>
    </row>
    <row r="20" spans="2:16" ht="16.5" thickBot="1" x14ac:dyDescent="0.3">
      <c r="B20" s="20" t="s">
        <v>20</v>
      </c>
      <c r="C20" s="21">
        <f>K13-1</f>
        <v>3</v>
      </c>
      <c r="D20" s="22">
        <f>(SUMSQ(C12:F12)/(K12))-K11</f>
        <v>6.881249999969441E-2</v>
      </c>
      <c r="E20" s="22">
        <f>D20/C20</f>
        <v>2.2937499999898137E-2</v>
      </c>
      <c r="F20" s="23">
        <f>E20/E25</f>
        <v>0.60797826518826403</v>
      </c>
      <c r="G20" s="22">
        <f>FINV(G19,C20,C25)</f>
        <v>3.2873821046365093</v>
      </c>
      <c r="H20" s="22">
        <f>FINV(H19,C20,C25)</f>
        <v>5.4169648578184191</v>
      </c>
      <c r="I20" s="24" t="str">
        <f>IF(F20&lt;G20,"tn",IF(F20&lt;H20,"*","**"))</f>
        <v>tn</v>
      </c>
      <c r="J20" s="9"/>
      <c r="K20" s="27"/>
      <c r="L20" s="27"/>
      <c r="M20" s="27"/>
      <c r="N20" s="27"/>
    </row>
    <row r="21" spans="2:16" ht="16.5" thickBot="1" x14ac:dyDescent="0.3">
      <c r="B21" s="20" t="s">
        <v>21</v>
      </c>
      <c r="C21" s="21">
        <f>(K14*K15)-1</f>
        <v>5</v>
      </c>
      <c r="D21" s="22">
        <f>(SUMSQ(G6:G11)/4)-K11</f>
        <v>28.860370833333945</v>
      </c>
      <c r="E21" s="22">
        <f t="shared" ref="E21:E26" si="4">D21/C21</f>
        <v>5.7720741666667887</v>
      </c>
      <c r="F21" s="23">
        <f>E21/E25</f>
        <v>152.99381529825192</v>
      </c>
      <c r="G21" s="22">
        <f>FINV(G19,C21,C25)</f>
        <v>2.9012945362361564</v>
      </c>
      <c r="H21" s="22">
        <f>FINV(H19,C21,C25)</f>
        <v>4.5556139846530046</v>
      </c>
      <c r="I21" s="25" t="str">
        <f t="shared" ref="I21:I24" si="5">IF(F21&lt;G21,"tn",IF(F21&lt;H21,"*","**"))</f>
        <v>**</v>
      </c>
      <c r="J21" s="9"/>
      <c r="K21" s="29" t="s">
        <v>21</v>
      </c>
      <c r="L21" s="29" t="s">
        <v>27</v>
      </c>
      <c r="M21" s="29" t="s">
        <v>28</v>
      </c>
      <c r="N21" s="27"/>
    </row>
    <row r="22" spans="2:16" ht="16.5" thickBot="1" x14ac:dyDescent="0.3">
      <c r="B22" s="20" t="s">
        <v>53</v>
      </c>
      <c r="C22" s="21">
        <f>K14-1</f>
        <v>1</v>
      </c>
      <c r="D22" s="22">
        <f>(SUMSQ(N6:N7))/(3*4)-K11</f>
        <v>1.5352041666665173</v>
      </c>
      <c r="E22" s="22">
        <f t="shared" si="4"/>
        <v>1.5352041666665173</v>
      </c>
      <c r="F22" s="23">
        <f>E22/E25</f>
        <v>40.69191350251112</v>
      </c>
      <c r="G22" s="22">
        <f>FINV(G19,C22,C25)</f>
        <v>4.5430771652669701</v>
      </c>
      <c r="H22" s="22">
        <f>FINV(H19,C22,C25)</f>
        <v>8.6831168176389504</v>
      </c>
      <c r="I22" s="25" t="str">
        <f t="shared" si="5"/>
        <v>**</v>
      </c>
      <c r="J22" s="9"/>
      <c r="K22" s="16" t="s">
        <v>48</v>
      </c>
      <c r="L22" s="6">
        <f>O6</f>
        <v>13.7525</v>
      </c>
      <c r="M22" s="4" t="s">
        <v>37</v>
      </c>
      <c r="N22" s="11">
        <f>L22+L$24</f>
        <v>14.041931805079702</v>
      </c>
    </row>
    <row r="23" spans="2:16" ht="16.5" thickBot="1" x14ac:dyDescent="0.3">
      <c r="B23" s="20" t="s">
        <v>54</v>
      </c>
      <c r="C23" s="21">
        <f>K15-1</f>
        <v>2</v>
      </c>
      <c r="D23" s="22">
        <f>(SUMSQ(K8:M8))/(2*4)-K11</f>
        <v>25.026633333333848</v>
      </c>
      <c r="E23" s="22">
        <f t="shared" si="4"/>
        <v>12.513316666666924</v>
      </c>
      <c r="F23" s="23">
        <f>E23/E25</f>
        <v>331.67627504241233</v>
      </c>
      <c r="G23" s="22">
        <f>FINV(G19,C23,C25)</f>
        <v>3.6823203436732408</v>
      </c>
      <c r="H23" s="22">
        <f>FINV(H19,C23,C25)</f>
        <v>6.3588734806671825</v>
      </c>
      <c r="I23" s="25" t="str">
        <f>IF(F23&lt;G23,"tn",IF(F23&lt;H23,"*","**"))</f>
        <v>**</v>
      </c>
      <c r="K23" s="16" t="s">
        <v>49</v>
      </c>
      <c r="L23" s="6">
        <f>O7</f>
        <v>13.246666666666668</v>
      </c>
      <c r="M23" s="4" t="s">
        <v>35</v>
      </c>
      <c r="N23" s="11">
        <f>L23+L$24</f>
        <v>13.536098471746371</v>
      </c>
      <c r="P23" t="s">
        <v>30</v>
      </c>
    </row>
    <row r="24" spans="2:16" ht="16.5" thickBot="1" x14ac:dyDescent="0.3">
      <c r="B24" s="20" t="s">
        <v>55</v>
      </c>
      <c r="C24" s="21">
        <f>C22*C23</f>
        <v>2</v>
      </c>
      <c r="D24" s="22">
        <f>D21-D22-D23</f>
        <v>2.2985333333335802</v>
      </c>
      <c r="E24" s="22">
        <f t="shared" si="4"/>
        <v>1.1492666666667901</v>
      </c>
      <c r="F24" s="23">
        <f>E24/E25</f>
        <v>30.46230645196194</v>
      </c>
      <c r="G24" s="22">
        <f>FINV(G19,C24,C25)</f>
        <v>3.6823203436732408</v>
      </c>
      <c r="H24" s="22">
        <f>FINV(H19,C24,C25)</f>
        <v>6.3588734806671825</v>
      </c>
      <c r="I24" s="25" t="str">
        <f t="shared" si="5"/>
        <v>**</v>
      </c>
      <c r="K24" s="28" t="s">
        <v>26</v>
      </c>
      <c r="L24" s="50">
        <f>L19</f>
        <v>0.28943180507970356</v>
      </c>
      <c r="M24" s="51"/>
      <c r="N24" s="11"/>
    </row>
    <row r="25" spans="2:16" ht="16.5" thickBot="1" x14ac:dyDescent="0.3">
      <c r="B25" s="20" t="s">
        <v>22</v>
      </c>
      <c r="C25" s="21">
        <f>C26-C20-C21</f>
        <v>15</v>
      </c>
      <c r="D25" s="22">
        <f>D26-D20-D21</f>
        <v>0.565912500000195</v>
      </c>
      <c r="E25" s="22">
        <f t="shared" si="4"/>
        <v>3.7727500000013001E-2</v>
      </c>
      <c r="K25" s="16" t="s">
        <v>50</v>
      </c>
      <c r="L25" s="6">
        <f>K9</f>
        <v>12.13625</v>
      </c>
      <c r="M25" s="4" t="s">
        <v>35</v>
      </c>
      <c r="N25" s="11">
        <f>L25+L$28</f>
        <v>12.425681805079703</v>
      </c>
    </row>
    <row r="26" spans="2:16" ht="16.5" thickBot="1" x14ac:dyDescent="0.3">
      <c r="B26" s="20" t="s">
        <v>0</v>
      </c>
      <c r="C26" s="21">
        <f>(K14*K15*K13)-1</f>
        <v>23</v>
      </c>
      <c r="D26" s="22">
        <f>SUMSQ(C6:F11)-K11</f>
        <v>29.495095833333835</v>
      </c>
      <c r="E26" s="22">
        <f t="shared" si="4"/>
        <v>1.2823954710145145</v>
      </c>
      <c r="K26" s="16" t="s">
        <v>51</v>
      </c>
      <c r="L26" s="6">
        <f>L9</f>
        <v>13.768750000000001</v>
      </c>
      <c r="M26" s="4" t="s">
        <v>37</v>
      </c>
      <c r="N26" s="11">
        <f t="shared" ref="N26:N27" si="6">L26+L$28</f>
        <v>14.058181805079704</v>
      </c>
    </row>
    <row r="27" spans="2:16" ht="15.75" x14ac:dyDescent="0.25">
      <c r="K27" s="16" t="s">
        <v>56</v>
      </c>
      <c r="L27" s="6">
        <f>M9</f>
        <v>14.59375</v>
      </c>
      <c r="M27" s="4" t="s">
        <v>36</v>
      </c>
      <c r="N27" s="11">
        <f t="shared" si="6"/>
        <v>14.883181805079703</v>
      </c>
    </row>
    <row r="28" spans="2:16" ht="15.75" x14ac:dyDescent="0.25">
      <c r="K28" s="28" t="s">
        <v>26</v>
      </c>
      <c r="L28" s="50">
        <f>L19</f>
        <v>0.28943180507970356</v>
      </c>
      <c r="M28" s="51"/>
    </row>
    <row r="29" spans="2:16" ht="15.75" x14ac:dyDescent="0.25">
      <c r="N29" s="27"/>
    </row>
    <row r="30" spans="2:16" ht="15.75" x14ac:dyDescent="0.25">
      <c r="K30" s="43" t="s">
        <v>33</v>
      </c>
      <c r="L30" s="43" t="s">
        <v>26</v>
      </c>
      <c r="M30" s="43" t="s">
        <v>25</v>
      </c>
    </row>
    <row r="31" spans="2:16" ht="15.75" x14ac:dyDescent="0.25">
      <c r="K31" s="11">
        <f>SQRT(E25/4)</f>
        <v>9.7117840791500556E-2</v>
      </c>
      <c r="L31" s="27">
        <f>4.59</f>
        <v>4.59</v>
      </c>
      <c r="M31" s="11">
        <f>K31*L31</f>
        <v>0.44577088923298752</v>
      </c>
    </row>
    <row r="32" spans="2:16" ht="15.75" x14ac:dyDescent="0.25">
      <c r="K32" s="44" t="s">
        <v>26</v>
      </c>
      <c r="L32" s="45">
        <f>M31</f>
        <v>0.44577088923298752</v>
      </c>
      <c r="M32" s="46"/>
    </row>
    <row r="34" spans="11:14" ht="15.75" x14ac:dyDescent="0.25">
      <c r="K34" s="36" t="s">
        <v>21</v>
      </c>
      <c r="L34" s="36" t="s">
        <v>27</v>
      </c>
      <c r="M34" s="36" t="s">
        <v>32</v>
      </c>
      <c r="N34" s="47"/>
    </row>
    <row r="35" spans="11:14" ht="15.75" x14ac:dyDescent="0.25">
      <c r="K35" s="2" t="s">
        <v>40</v>
      </c>
      <c r="L35" s="37">
        <f>H6</f>
        <v>11.957500000000001</v>
      </c>
      <c r="M35" s="48" t="s">
        <v>35</v>
      </c>
      <c r="N35" s="47">
        <f>L35+L$41</f>
        <v>12.403270889232989</v>
      </c>
    </row>
    <row r="36" spans="11:14" ht="15.75" x14ac:dyDescent="0.25">
      <c r="K36" s="2" t="s">
        <v>41</v>
      </c>
      <c r="L36" s="37">
        <f t="shared" ref="L36:L40" si="7">H7</f>
        <v>14.3</v>
      </c>
      <c r="M36" s="48" t="s">
        <v>39</v>
      </c>
      <c r="N36" s="47">
        <f t="shared" ref="N36:N40" si="8">L36+L$41</f>
        <v>14.745770889232988</v>
      </c>
    </row>
    <row r="37" spans="11:14" ht="15.75" x14ac:dyDescent="0.25">
      <c r="K37" s="2" t="s">
        <v>42</v>
      </c>
      <c r="L37" s="37">
        <f t="shared" si="7"/>
        <v>15</v>
      </c>
      <c r="M37" s="48" t="s">
        <v>38</v>
      </c>
      <c r="N37" s="47">
        <f t="shared" si="8"/>
        <v>15.445770889232987</v>
      </c>
    </row>
    <row r="38" spans="11:14" ht="15.75" x14ac:dyDescent="0.25">
      <c r="K38" s="2" t="s">
        <v>43</v>
      </c>
      <c r="L38" s="37">
        <f t="shared" si="7"/>
        <v>12.315000000000001</v>
      </c>
      <c r="M38" s="48" t="s">
        <v>37</v>
      </c>
      <c r="N38" s="47">
        <f>L38+L$41</f>
        <v>12.760770889232989</v>
      </c>
    </row>
    <row r="39" spans="11:14" ht="15.75" x14ac:dyDescent="0.25">
      <c r="K39" s="2" t="s">
        <v>44</v>
      </c>
      <c r="L39" s="37">
        <f t="shared" si="7"/>
        <v>13.237500000000001</v>
      </c>
      <c r="M39" s="48" t="s">
        <v>36</v>
      </c>
      <c r="N39" s="47">
        <f t="shared" si="8"/>
        <v>13.683270889232988</v>
      </c>
    </row>
    <row r="40" spans="11:14" ht="15.75" x14ac:dyDescent="0.25">
      <c r="K40" s="2" t="s">
        <v>45</v>
      </c>
      <c r="L40" s="41">
        <f t="shared" si="7"/>
        <v>14.1875</v>
      </c>
      <c r="M40" s="49" t="s">
        <v>36</v>
      </c>
      <c r="N40" s="47">
        <f t="shared" si="8"/>
        <v>14.633270889232987</v>
      </c>
    </row>
    <row r="41" spans="11:14" ht="15.75" x14ac:dyDescent="0.25">
      <c r="K41" s="42" t="s">
        <v>26</v>
      </c>
      <c r="L41" s="73">
        <f>L32</f>
        <v>0.44577088923298752</v>
      </c>
      <c r="M41" s="73"/>
      <c r="N41" s="47"/>
    </row>
    <row r="42" spans="11:14" ht="15.75" x14ac:dyDescent="0.25">
      <c r="K42" s="38"/>
      <c r="L42" s="39"/>
      <c r="M42" s="39"/>
      <c r="N42" s="47"/>
    </row>
    <row r="43" spans="11:14" ht="15.75" x14ac:dyDescent="0.25">
      <c r="K43" s="38"/>
      <c r="L43" s="39"/>
      <c r="M43" s="39"/>
      <c r="N43" s="47"/>
    </row>
    <row r="44" spans="11:14" ht="15.75" x14ac:dyDescent="0.25">
      <c r="N44" s="27"/>
    </row>
  </sheetData>
  <mergeCells count="21">
    <mergeCell ref="L24:M24"/>
    <mergeCell ref="L28:M28"/>
    <mergeCell ref="L41:M41"/>
    <mergeCell ref="B17:I17"/>
    <mergeCell ref="B18:B19"/>
    <mergeCell ref="C18:C19"/>
    <mergeCell ref="D18:D19"/>
    <mergeCell ref="E18:E19"/>
    <mergeCell ref="F18:F19"/>
    <mergeCell ref="G18:H18"/>
    <mergeCell ref="I18:I19"/>
    <mergeCell ref="B3:F3"/>
    <mergeCell ref="G3:G5"/>
    <mergeCell ref="H3:H5"/>
    <mergeCell ref="J3:O3"/>
    <mergeCell ref="B4:B5"/>
    <mergeCell ref="C4:F4"/>
    <mergeCell ref="J4:J5"/>
    <mergeCell ref="K4:M4"/>
    <mergeCell ref="N4:N5"/>
    <mergeCell ref="O4:O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WARNA L</vt:lpstr>
      <vt:lpstr>WARNA A</vt:lpstr>
      <vt:lpstr>WARNA 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Robiatul Adawiyah</dc:creator>
  <cp:lastModifiedBy>Robiatul Adawiyah</cp:lastModifiedBy>
  <dcterms:created xsi:type="dcterms:W3CDTF">2024-02-09T02:20:16Z</dcterms:created>
  <dcterms:modified xsi:type="dcterms:W3CDTF">2024-05-25T06:57:55Z</dcterms:modified>
</cp:coreProperties>
</file>